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codeName="ThisWorkbook" defaultThemeVersion="124226"/>
  <mc:AlternateContent xmlns:mc="http://schemas.openxmlformats.org/markup-compatibility/2006">
    <mc:Choice Requires="x15">
      <x15ac:absPath xmlns:x15ac="http://schemas.microsoft.com/office/spreadsheetml/2010/11/ac" url="C:\Users\Bandung\Downloads\JFA dupak\"/>
    </mc:Choice>
  </mc:AlternateContent>
  <xr:revisionPtr revIDLastSave="0" documentId="13_ncr:1_{241D3C58-FE49-4FA0-B845-48D226CA0147}" xr6:coauthVersionLast="36" xr6:coauthVersionMax="36" xr10:uidLastSave="{00000000-0000-0000-0000-000000000000}"/>
  <bookViews>
    <workbookView xWindow="0" yWindow="0" windowWidth="38400" windowHeight="17760" tabRatio="811" firstSheet="6" activeTab="6" xr2:uid="{00000000-000D-0000-FFFF-FFFF00000000}"/>
  </bookViews>
  <sheets>
    <sheet name="LAMPIRAN I DONE" sheetId="1" r:id="rId1"/>
    <sheet name="LAMPIRAN II DONE" sheetId="2" r:id="rId2"/>
    <sheet name="LAMPIRAN III DONE" sheetId="3" r:id="rId3"/>
    <sheet name="Reviewer Eksternal (LK&amp;GB)1" sheetId="13" r:id="rId4"/>
    <sheet name="LAMPIRAN IV DONE" sheetId="4" r:id="rId5"/>
    <sheet name="LAMPIRAN V DONE" sheetId="5" r:id="rId6"/>
    <sheet name="Rekap Similarity" sheetId="15" r:id="rId7"/>
    <sheet name="Link Publikasi LK-GB" sheetId="17" r:id="rId8"/>
    <sheet name="Rekapitulasi (S3)" sheetId="9" r:id="rId9"/>
    <sheet name="Rekapitulasi (S2)" sheetId="16" r:id="rId10"/>
    <sheet name="List" sheetId="10" state="hidden" r:id="rId11"/>
    <sheet name="DUPAK" sheetId="11" state="hidden" r:id="rId12"/>
  </sheets>
  <definedNames>
    <definedName name="_xlnm._FilterDatabase" localSheetId="7" hidden="1">'Link Publikasi LK-GB'!$A$3:$G$24</definedName>
    <definedName name="_xlnm._FilterDatabase" localSheetId="9" hidden="1">'Rekapitulasi (S2)'!$A$25:$R$25</definedName>
    <definedName name="_xlnm._FilterDatabase" localSheetId="8" hidden="1">'Rekapitulasi (S3)'!$A$25:$R$25</definedName>
    <definedName name="a">"1).a).Hasil penelitian atau hasil pemikiran yang dipublikasikan Dalam bentuk buku Monograf"</definedName>
    <definedName name="_xlnm.Print_Area" localSheetId="11">DUPAK!$A$1:$R$273</definedName>
    <definedName name="_xlnm.Print_Titles" localSheetId="3">'Reviewer Eksternal (LK&amp;GB)1'!$10:$10</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L71" i="3" l="1"/>
  <c r="E40" i="4"/>
  <c r="F40" i="4"/>
  <c r="J40" i="4"/>
  <c r="G40" i="4" s="1"/>
  <c r="E41" i="4"/>
  <c r="F41" i="4"/>
  <c r="J41" i="4"/>
  <c r="G41" i="4" s="1"/>
  <c r="E42" i="4"/>
  <c r="F42" i="4"/>
  <c r="J42" i="4"/>
  <c r="G42" i="4" s="1"/>
  <c r="E43" i="4"/>
  <c r="F43" i="4"/>
  <c r="J43" i="4"/>
  <c r="G43" i="4" s="1"/>
  <c r="E44" i="4"/>
  <c r="F44" i="4"/>
  <c r="J44" i="4"/>
  <c r="G44" i="4" s="1"/>
  <c r="L180" i="3"/>
  <c r="E22" i="13"/>
  <c r="B101" i="2" l="1"/>
  <c r="C20" i="2"/>
  <c r="J29" i="2" l="1"/>
  <c r="J28" i="2"/>
  <c r="J27" i="2"/>
  <c r="C83" i="16" l="1"/>
  <c r="C75" i="16"/>
  <c r="C67" i="16"/>
  <c r="C59" i="16"/>
  <c r="C51" i="16"/>
  <c r="N772" i="2" l="1"/>
  <c r="M772" i="2"/>
  <c r="N761" i="2"/>
  <c r="M761" i="2"/>
  <c r="N750" i="2"/>
  <c r="M750" i="2"/>
  <c r="N739" i="2"/>
  <c r="M739" i="2"/>
  <c r="N728" i="2"/>
  <c r="M728" i="2"/>
  <c r="N717" i="2"/>
  <c r="M717" i="2"/>
  <c r="N706" i="2"/>
  <c r="M706" i="2"/>
  <c r="N695" i="2"/>
  <c r="M695" i="2"/>
  <c r="N684" i="2"/>
  <c r="M684" i="2"/>
  <c r="N673" i="2"/>
  <c r="M673" i="2"/>
  <c r="N651" i="2"/>
  <c r="M651" i="2"/>
  <c r="N640" i="2"/>
  <c r="M640" i="2"/>
  <c r="N629" i="2"/>
  <c r="M629" i="2"/>
  <c r="N618" i="2"/>
  <c r="M618" i="2"/>
  <c r="N607" i="2"/>
  <c r="M607" i="2"/>
  <c r="N596" i="2"/>
  <c r="M596" i="2"/>
  <c r="N585" i="2"/>
  <c r="M585" i="2"/>
  <c r="N574" i="2"/>
  <c r="M574" i="2"/>
  <c r="N563" i="2"/>
  <c r="M563" i="2"/>
  <c r="N552" i="2"/>
  <c r="M552" i="2"/>
  <c r="H234" i="1" l="1"/>
  <c r="D65" i="9" l="1"/>
  <c r="D73" i="9"/>
  <c r="D81" i="9"/>
  <c r="D89" i="9"/>
  <c r="D57" i="9"/>
  <c r="G1162" i="2" l="1"/>
  <c r="E162" i="5" s="1"/>
  <c r="G1168" i="2"/>
  <c r="E168" i="5" s="1"/>
  <c r="F190" i="3" l="1"/>
  <c r="E89" i="4" s="1"/>
  <c r="E95" i="4"/>
  <c r="F196" i="3"/>
  <c r="G89" i="16"/>
  <c r="F89" i="16"/>
  <c r="D89" i="16"/>
  <c r="H88" i="16" s="1"/>
  <c r="H84" i="16"/>
  <c r="G81" i="16"/>
  <c r="F81" i="16"/>
  <c r="D81" i="16"/>
  <c r="H79" i="16" s="1"/>
  <c r="H80" i="16"/>
  <c r="G73" i="16"/>
  <c r="F73" i="16"/>
  <c r="D73" i="16"/>
  <c r="H68" i="16" s="1"/>
  <c r="G65" i="16"/>
  <c r="F65" i="16"/>
  <c r="D65" i="16"/>
  <c r="H64" i="16" s="1"/>
  <c r="H60" i="16"/>
  <c r="G57" i="16"/>
  <c r="F57" i="16"/>
  <c r="D57" i="16"/>
  <c r="G49" i="16"/>
  <c r="F49" i="16"/>
  <c r="D49" i="16"/>
  <c r="H44" i="16" s="1"/>
  <c r="J48" i="16"/>
  <c r="J47" i="16"/>
  <c r="K47" i="16" s="1"/>
  <c r="J46" i="16"/>
  <c r="K46" i="16" s="1"/>
  <c r="J45" i="16"/>
  <c r="J44" i="16"/>
  <c r="C43" i="16"/>
  <c r="G41" i="16"/>
  <c r="F41" i="16"/>
  <c r="D41" i="16"/>
  <c r="H36" i="16" s="1"/>
  <c r="J40" i="16"/>
  <c r="J39" i="16"/>
  <c r="K39" i="16" s="1"/>
  <c r="J38" i="16"/>
  <c r="K38" i="16" s="1"/>
  <c r="J37" i="16"/>
  <c r="J36" i="16"/>
  <c r="C35" i="16"/>
  <c r="G33" i="16"/>
  <c r="F33" i="16"/>
  <c r="D33" i="16"/>
  <c r="H28" i="16" s="1"/>
  <c r="J32" i="16"/>
  <c r="H32" i="16"/>
  <c r="J31" i="16"/>
  <c r="K32" i="16" s="1"/>
  <c r="H31" i="16"/>
  <c r="J30" i="16"/>
  <c r="K30" i="16" s="1"/>
  <c r="J29" i="16"/>
  <c r="J28" i="16"/>
  <c r="C27" i="16"/>
  <c r="D18" i="16"/>
  <c r="D16" i="16"/>
  <c r="G15" i="16"/>
  <c r="D15" i="16"/>
  <c r="D14" i="16"/>
  <c r="D13" i="16"/>
  <c r="D12" i="16"/>
  <c r="D11" i="16"/>
  <c r="D9" i="16"/>
  <c r="D8" i="16"/>
  <c r="H62" i="16" l="1"/>
  <c r="H86" i="16"/>
  <c r="H39" i="16"/>
  <c r="H40" i="16"/>
  <c r="H76" i="16"/>
  <c r="H52" i="16"/>
  <c r="H54" i="16"/>
  <c r="H55" i="16"/>
  <c r="H56" i="16"/>
  <c r="H78" i="16"/>
  <c r="H81" i="16" s="1"/>
  <c r="H71" i="16"/>
  <c r="H72" i="16"/>
  <c r="H63" i="16"/>
  <c r="H65" i="16" s="1"/>
  <c r="H87" i="16"/>
  <c r="H89" i="16" s="1"/>
  <c r="H70" i="16"/>
  <c r="J41" i="16"/>
  <c r="H30" i="16"/>
  <c r="H38" i="16"/>
  <c r="H41" i="16" s="1"/>
  <c r="H33" i="16"/>
  <c r="L30" i="16" s="1"/>
  <c r="H46" i="16"/>
  <c r="H48" i="16"/>
  <c r="H47" i="16"/>
  <c r="J49" i="16"/>
  <c r="K28" i="16"/>
  <c r="K44" i="16"/>
  <c r="K36" i="16"/>
  <c r="J33" i="16"/>
  <c r="K40" i="16"/>
  <c r="K48" i="16"/>
  <c r="K31" i="16"/>
  <c r="H57" i="16" l="1"/>
  <c r="L39" i="16"/>
  <c r="L38" i="16"/>
  <c r="L31" i="16"/>
  <c r="L40" i="16"/>
  <c r="L32" i="16"/>
  <c r="H73" i="16"/>
  <c r="L36" i="16"/>
  <c r="L28" i="16"/>
  <c r="H49" i="16"/>
  <c r="L48" i="16" s="1"/>
  <c r="K49" i="16"/>
  <c r="K41" i="16"/>
  <c r="L46" i="16" l="1"/>
  <c r="L47" i="16"/>
  <c r="L44" i="16"/>
  <c r="B138" i="13"/>
  <c r="B137" i="13"/>
  <c r="B136" i="13"/>
  <c r="B135" i="13"/>
  <c r="B134" i="13"/>
  <c r="B133" i="13"/>
  <c r="B132" i="13"/>
  <c r="B131" i="13"/>
  <c r="B130" i="13"/>
  <c r="B129" i="13"/>
  <c r="B127" i="13"/>
  <c r="B126" i="13"/>
  <c r="B125" i="13"/>
  <c r="B124" i="13"/>
  <c r="B123" i="13"/>
  <c r="B122" i="13"/>
  <c r="B121" i="13"/>
  <c r="B120" i="13"/>
  <c r="B119" i="13"/>
  <c r="B118" i="13"/>
  <c r="B116" i="13"/>
  <c r="B115" i="13"/>
  <c r="B114" i="13"/>
  <c r="B113" i="13"/>
  <c r="B112" i="13"/>
  <c r="B111" i="13"/>
  <c r="B110" i="13"/>
  <c r="B109" i="13"/>
  <c r="B108" i="13"/>
  <c r="B107" i="13"/>
  <c r="B105" i="13"/>
  <c r="B104" i="13"/>
  <c r="B103" i="13"/>
  <c r="B102" i="13"/>
  <c r="B101" i="13"/>
  <c r="B100" i="13"/>
  <c r="B99" i="13"/>
  <c r="B98" i="13"/>
  <c r="B97" i="13"/>
  <c r="B96" i="13"/>
  <c r="B94" i="13"/>
  <c r="B93" i="13"/>
  <c r="B92" i="13"/>
  <c r="B91" i="13"/>
  <c r="B90" i="13"/>
  <c r="B89" i="13"/>
  <c r="B88" i="13"/>
  <c r="B87" i="13"/>
  <c r="B86" i="13"/>
  <c r="B85" i="13"/>
  <c r="B84" i="13"/>
  <c r="B83" i="13"/>
  <c r="B82" i="13"/>
  <c r="B81" i="13"/>
  <c r="B80" i="13"/>
  <c r="B79" i="13"/>
  <c r="B78" i="13"/>
  <c r="B77" i="13"/>
  <c r="B76" i="13"/>
  <c r="B75" i="13"/>
  <c r="B73" i="13"/>
  <c r="B72" i="13"/>
  <c r="B71" i="13"/>
  <c r="B70" i="13"/>
  <c r="B69" i="13"/>
  <c r="B68" i="13"/>
  <c r="B67" i="13"/>
  <c r="B66" i="13"/>
  <c r="B65" i="13"/>
  <c r="B64" i="13"/>
  <c r="B63" i="13"/>
  <c r="B62" i="13"/>
  <c r="B61" i="13"/>
  <c r="B60" i="13"/>
  <c r="B59" i="13"/>
  <c r="B58" i="13"/>
  <c r="B57" i="13"/>
  <c r="B56" i="13"/>
  <c r="B55" i="13"/>
  <c r="B54" i="13"/>
  <c r="B52" i="13"/>
  <c r="B51" i="13"/>
  <c r="B50" i="13"/>
  <c r="B49" i="13"/>
  <c r="B48" i="13"/>
  <c r="B47" i="13"/>
  <c r="B46" i="13"/>
  <c r="B45" i="13"/>
  <c r="B44" i="13"/>
  <c r="B43" i="13"/>
  <c r="B42" i="13"/>
  <c r="B41" i="13"/>
  <c r="B40" i="13"/>
  <c r="B39" i="13"/>
  <c r="B38" i="13"/>
  <c r="B37" i="13"/>
  <c r="B36" i="13"/>
  <c r="B35" i="13"/>
  <c r="B34" i="13"/>
  <c r="B33" i="13"/>
  <c r="B31" i="13"/>
  <c r="B30" i="13"/>
  <c r="B29" i="13"/>
  <c r="B28" i="13"/>
  <c r="B27" i="13"/>
  <c r="B26" i="13"/>
  <c r="B25" i="13"/>
  <c r="B24" i="13"/>
  <c r="B23" i="13"/>
  <c r="B22" i="13"/>
  <c r="B21" i="13"/>
  <c r="B20" i="13"/>
  <c r="B19" i="13"/>
  <c r="B18" i="13"/>
  <c r="B17" i="13"/>
  <c r="B16" i="13"/>
  <c r="B15" i="13"/>
  <c r="B14" i="13"/>
  <c r="B13" i="13"/>
  <c r="B12" i="13"/>
  <c r="I118" i="1"/>
  <c r="I108" i="1"/>
  <c r="I107" i="1"/>
  <c r="I106" i="1"/>
  <c r="I216" i="1" l="1"/>
  <c r="I213" i="1"/>
  <c r="I212" i="1"/>
  <c r="I209" i="1"/>
  <c r="I203" i="1"/>
  <c r="I194" i="1"/>
  <c r="I180" i="1"/>
  <c r="I176" i="1"/>
  <c r="I171" i="1"/>
  <c r="I170" i="1"/>
  <c r="I167" i="1"/>
  <c r="I88" i="1"/>
  <c r="I87" i="1"/>
  <c r="I85" i="1"/>
  <c r="I84" i="1"/>
  <c r="I82" i="1"/>
  <c r="I81" i="1"/>
  <c r="I80" i="1"/>
  <c r="I79" i="1"/>
  <c r="I78" i="1"/>
  <c r="I77" i="1"/>
  <c r="I76" i="1"/>
  <c r="I59" i="1"/>
  <c r="I58" i="1"/>
  <c r="T51" i="1"/>
  <c r="T52" i="1"/>
  <c r="T50" i="1"/>
  <c r="O172" i="3" l="1"/>
  <c r="M172" i="3"/>
  <c r="L172" i="3"/>
  <c r="O170" i="3"/>
  <c r="M170" i="3"/>
  <c r="L170" i="3"/>
  <c r="G170" i="3" l="1"/>
  <c r="F170" i="3"/>
  <c r="G172" i="3"/>
  <c r="F172" i="3"/>
  <c r="N170" i="3"/>
  <c r="N172" i="3"/>
  <c r="P119" i="3"/>
  <c r="O119" i="3"/>
  <c r="M119" i="3"/>
  <c r="F119" i="3" s="1"/>
  <c r="L119" i="3"/>
  <c r="P117" i="3"/>
  <c r="O117" i="3"/>
  <c r="M117" i="3"/>
  <c r="F117" i="3" s="1"/>
  <c r="L117" i="3"/>
  <c r="P115" i="3"/>
  <c r="O115" i="3"/>
  <c r="M115" i="3"/>
  <c r="F115" i="3" s="1"/>
  <c r="L115" i="3"/>
  <c r="P113" i="3"/>
  <c r="O113" i="3"/>
  <c r="M113" i="3"/>
  <c r="F113" i="3" s="1"/>
  <c r="L113" i="3"/>
  <c r="P111" i="3"/>
  <c r="O111" i="3"/>
  <c r="M111" i="3"/>
  <c r="F111" i="3" s="1"/>
  <c r="L111" i="3"/>
  <c r="N115" i="3" l="1"/>
  <c r="D100" i="13" s="1"/>
  <c r="N117" i="3"/>
  <c r="D102" i="13" s="1"/>
  <c r="N119" i="3"/>
  <c r="D104" i="13" s="1"/>
  <c r="N113" i="3"/>
  <c r="N111" i="3"/>
  <c r="D96" i="13" s="1"/>
  <c r="Q68" i="3"/>
  <c r="Q66" i="3"/>
  <c r="Q64" i="3"/>
  <c r="Q62" i="3"/>
  <c r="Q60" i="3"/>
  <c r="Q58" i="3"/>
  <c r="Q56" i="3"/>
  <c r="Q54" i="3"/>
  <c r="Q52" i="3"/>
  <c r="Q50" i="3"/>
  <c r="I119" i="1" l="1"/>
  <c r="D98" i="13"/>
  <c r="L152" i="3"/>
  <c r="L150" i="3"/>
  <c r="L148" i="3"/>
  <c r="L146" i="3"/>
  <c r="L144" i="3"/>
  <c r="L141" i="3"/>
  <c r="L139" i="3"/>
  <c r="L137" i="3"/>
  <c r="L135" i="3"/>
  <c r="L133" i="3"/>
  <c r="L130" i="3"/>
  <c r="L128" i="3"/>
  <c r="L126" i="3"/>
  <c r="L124" i="3"/>
  <c r="L122" i="3"/>
  <c r="L108" i="3"/>
  <c r="L106" i="3"/>
  <c r="L104" i="3"/>
  <c r="L102" i="3"/>
  <c r="L100" i="3"/>
  <c r="L98" i="3"/>
  <c r="L96" i="3"/>
  <c r="L94" i="3"/>
  <c r="L92" i="3"/>
  <c r="L90" i="3"/>
  <c r="L87" i="3"/>
  <c r="L85" i="3"/>
  <c r="L83" i="3"/>
  <c r="L81" i="3"/>
  <c r="L79" i="3"/>
  <c r="L77" i="3"/>
  <c r="L75" i="3"/>
  <c r="L73" i="3"/>
  <c r="L68" i="3"/>
  <c r="L66" i="3"/>
  <c r="L64" i="3"/>
  <c r="L62" i="3"/>
  <c r="L60" i="3"/>
  <c r="L58" i="3"/>
  <c r="L56" i="3"/>
  <c r="L54" i="3"/>
  <c r="L52" i="3"/>
  <c r="L50" i="3"/>
  <c r="L47" i="3"/>
  <c r="L45" i="3"/>
  <c r="L43" i="3"/>
  <c r="L41" i="3"/>
  <c r="L39" i="3"/>
  <c r="L37" i="3"/>
  <c r="L35" i="3"/>
  <c r="L33" i="3"/>
  <c r="L31" i="3"/>
  <c r="L29" i="3"/>
  <c r="P47" i="3"/>
  <c r="P45" i="3"/>
  <c r="P43" i="3"/>
  <c r="P41" i="3"/>
  <c r="P39" i="3"/>
  <c r="P37" i="3"/>
  <c r="P35" i="3"/>
  <c r="P33" i="3"/>
  <c r="P31" i="3"/>
  <c r="P29" i="3"/>
  <c r="P68" i="3"/>
  <c r="P66" i="3"/>
  <c r="P64" i="3"/>
  <c r="P62" i="3"/>
  <c r="P60" i="3"/>
  <c r="P58" i="3"/>
  <c r="P56" i="3"/>
  <c r="P54" i="3"/>
  <c r="P52" i="3"/>
  <c r="P50" i="3"/>
  <c r="P87" i="3"/>
  <c r="P85" i="3"/>
  <c r="P83" i="3"/>
  <c r="P81" i="3"/>
  <c r="P79" i="3"/>
  <c r="P77" i="3"/>
  <c r="P75" i="3"/>
  <c r="P73" i="3"/>
  <c r="P71" i="3"/>
  <c r="P108" i="3"/>
  <c r="P106" i="3"/>
  <c r="P104" i="3"/>
  <c r="P102" i="3"/>
  <c r="P100" i="3"/>
  <c r="P98" i="3"/>
  <c r="P96" i="3"/>
  <c r="P94" i="3"/>
  <c r="P92" i="3"/>
  <c r="P90" i="3"/>
  <c r="P130" i="3"/>
  <c r="P128" i="3"/>
  <c r="P126" i="3"/>
  <c r="P124" i="3"/>
  <c r="P122" i="3"/>
  <c r="P141" i="3"/>
  <c r="P139" i="3"/>
  <c r="P137" i="3"/>
  <c r="P135" i="3"/>
  <c r="P133" i="3"/>
  <c r="P144" i="3"/>
  <c r="P146" i="3"/>
  <c r="P148" i="3"/>
  <c r="P150" i="3"/>
  <c r="P152" i="3"/>
  <c r="I99" i="1" l="1"/>
  <c r="I98" i="1"/>
  <c r="I97" i="1"/>
  <c r="I96" i="1"/>
  <c r="I95" i="1"/>
  <c r="J216" i="1" l="1"/>
  <c r="J213" i="1"/>
  <c r="J212" i="1"/>
  <c r="J209" i="1"/>
  <c r="J203" i="1"/>
  <c r="J194" i="1"/>
  <c r="J180" i="1"/>
  <c r="J176" i="1"/>
  <c r="J171" i="1"/>
  <c r="J170" i="1"/>
  <c r="J167" i="1"/>
  <c r="J138" i="1"/>
  <c r="J119" i="1"/>
  <c r="J118" i="1"/>
  <c r="J117" i="1"/>
  <c r="J99" i="1"/>
  <c r="J98" i="1"/>
  <c r="J97" i="1"/>
  <c r="J96" i="1"/>
  <c r="J95" i="1"/>
  <c r="J88" i="1"/>
  <c r="J87" i="1"/>
  <c r="J85" i="1"/>
  <c r="J84" i="1"/>
  <c r="J82" i="1"/>
  <c r="J81" i="1"/>
  <c r="J80" i="1"/>
  <c r="J79" i="1"/>
  <c r="J76" i="1"/>
  <c r="H233" i="1"/>
  <c r="H229" i="1"/>
  <c r="J124" i="13" l="1"/>
  <c r="E124" i="13"/>
  <c r="J122" i="13"/>
  <c r="E122" i="13"/>
  <c r="J129" i="13"/>
  <c r="E129" i="13"/>
  <c r="J126" i="13"/>
  <c r="E126" i="13"/>
  <c r="J133" i="13"/>
  <c r="E133" i="13"/>
  <c r="J131" i="13"/>
  <c r="E131" i="13"/>
  <c r="J137" i="13"/>
  <c r="E137" i="13"/>
  <c r="J135" i="13"/>
  <c r="E135" i="13"/>
  <c r="J120" i="13"/>
  <c r="E120" i="13"/>
  <c r="J113" i="13"/>
  <c r="E113" i="13"/>
  <c r="J111" i="13"/>
  <c r="E111" i="13"/>
  <c r="J118" i="13"/>
  <c r="E118" i="13"/>
  <c r="M92" i="3"/>
  <c r="F92" i="3" s="1"/>
  <c r="O92" i="3"/>
  <c r="M94" i="3"/>
  <c r="F94" i="3" s="1"/>
  <c r="O94" i="3"/>
  <c r="M96" i="3"/>
  <c r="F96" i="3" s="1"/>
  <c r="O96" i="3"/>
  <c r="M98" i="3"/>
  <c r="F98" i="3" s="1"/>
  <c r="O98" i="3"/>
  <c r="M100" i="3"/>
  <c r="F100" i="3" s="1"/>
  <c r="O100" i="3"/>
  <c r="M102" i="3"/>
  <c r="F102" i="3" s="1"/>
  <c r="O102" i="3"/>
  <c r="M104" i="3"/>
  <c r="F104" i="3" s="1"/>
  <c r="O104" i="3"/>
  <c r="M106" i="3"/>
  <c r="F106" i="3" s="1"/>
  <c r="O106" i="3"/>
  <c r="M108" i="3"/>
  <c r="F108" i="3" s="1"/>
  <c r="O108" i="3"/>
  <c r="M122" i="3"/>
  <c r="F122" i="3" s="1"/>
  <c r="O122" i="3"/>
  <c r="M124" i="3"/>
  <c r="F124" i="3" s="1"/>
  <c r="O124" i="3"/>
  <c r="M126" i="3"/>
  <c r="F126" i="3" s="1"/>
  <c r="O126" i="3"/>
  <c r="M128" i="3"/>
  <c r="F128" i="3" s="1"/>
  <c r="O128" i="3"/>
  <c r="M130" i="3"/>
  <c r="F130" i="3" s="1"/>
  <c r="O130" i="3"/>
  <c r="M133" i="3"/>
  <c r="F133" i="3" s="1"/>
  <c r="O133" i="3"/>
  <c r="M135" i="3"/>
  <c r="F135" i="3" s="1"/>
  <c r="O135" i="3"/>
  <c r="O90" i="3"/>
  <c r="M90" i="3"/>
  <c r="F90" i="3" s="1"/>
  <c r="O150" i="3"/>
  <c r="M150" i="3"/>
  <c r="F150" i="3" s="1"/>
  <c r="O148" i="3"/>
  <c r="M148" i="3"/>
  <c r="F148" i="3" s="1"/>
  <c r="O146" i="3"/>
  <c r="M146" i="3"/>
  <c r="F146" i="3" s="1"/>
  <c r="O144" i="3"/>
  <c r="M144" i="3"/>
  <c r="F144" i="3" s="1"/>
  <c r="O141" i="3"/>
  <c r="M141" i="3"/>
  <c r="F141" i="3" s="1"/>
  <c r="O139" i="3"/>
  <c r="M139" i="3"/>
  <c r="F139" i="3" s="1"/>
  <c r="O137" i="3"/>
  <c r="M137" i="3"/>
  <c r="F137" i="3" s="1"/>
  <c r="N128" i="3" l="1"/>
  <c r="N100" i="3"/>
  <c r="N108" i="3"/>
  <c r="N92" i="3"/>
  <c r="D77" i="13" s="1"/>
  <c r="N90" i="3"/>
  <c r="D75" i="13" s="1"/>
  <c r="N133" i="3"/>
  <c r="D118" i="13" s="1"/>
  <c r="N124" i="3"/>
  <c r="D109" i="13" s="1"/>
  <c r="N104" i="3"/>
  <c r="N96" i="3"/>
  <c r="D81" i="13" s="1"/>
  <c r="N135" i="3"/>
  <c r="D120" i="13" s="1"/>
  <c r="N130" i="3"/>
  <c r="D115" i="13" s="1"/>
  <c r="I115" i="13" s="1"/>
  <c r="N126" i="3"/>
  <c r="D111" i="13" s="1"/>
  <c r="N122" i="3"/>
  <c r="D107" i="13" s="1"/>
  <c r="N106" i="3"/>
  <c r="N102" i="3"/>
  <c r="N98" i="3"/>
  <c r="N94" i="3"/>
  <c r="D79" i="13" s="1"/>
  <c r="N137" i="3"/>
  <c r="N141" i="3"/>
  <c r="N146" i="3"/>
  <c r="N150" i="3"/>
  <c r="D135" i="13" s="1"/>
  <c r="I135" i="13" s="1"/>
  <c r="N139" i="3"/>
  <c r="N144" i="3"/>
  <c r="D129" i="13" s="1"/>
  <c r="N148" i="3"/>
  <c r="D133" i="13" s="1"/>
  <c r="I133" i="13" s="1"/>
  <c r="E12" i="13"/>
  <c r="E115" i="13"/>
  <c r="E109" i="13"/>
  <c r="E107" i="13"/>
  <c r="E104" i="13"/>
  <c r="E102" i="13"/>
  <c r="E100" i="13"/>
  <c r="E98" i="13"/>
  <c r="E96" i="13"/>
  <c r="E93" i="13"/>
  <c r="E91" i="13"/>
  <c r="E89" i="13"/>
  <c r="E87" i="13"/>
  <c r="E85" i="13"/>
  <c r="E83" i="13"/>
  <c r="E81" i="13"/>
  <c r="E79" i="13"/>
  <c r="E77" i="13"/>
  <c r="E75" i="13"/>
  <c r="E72" i="13"/>
  <c r="E70" i="13"/>
  <c r="E68" i="13"/>
  <c r="E66" i="13"/>
  <c r="E64" i="13"/>
  <c r="E62" i="13"/>
  <c r="E60" i="13"/>
  <c r="E58" i="13"/>
  <c r="E56" i="13"/>
  <c r="E54" i="13"/>
  <c r="E51" i="13"/>
  <c r="E49" i="13"/>
  <c r="E47" i="13"/>
  <c r="E45" i="13"/>
  <c r="E43" i="13"/>
  <c r="E41" i="13"/>
  <c r="E39" i="13"/>
  <c r="E37" i="13"/>
  <c r="E35" i="13"/>
  <c r="E33" i="13"/>
  <c r="E30" i="13"/>
  <c r="E28" i="13"/>
  <c r="E26" i="13"/>
  <c r="E24" i="13"/>
  <c r="E20" i="13"/>
  <c r="E18" i="13"/>
  <c r="E16" i="13"/>
  <c r="E14" i="13"/>
  <c r="J115" i="13"/>
  <c r="J109" i="13"/>
  <c r="J107" i="13"/>
  <c r="J104" i="13"/>
  <c r="J102" i="13"/>
  <c r="J100" i="13"/>
  <c r="J98" i="13"/>
  <c r="J96" i="13"/>
  <c r="J93" i="13"/>
  <c r="J91" i="13"/>
  <c r="J89" i="13"/>
  <c r="J87" i="13"/>
  <c r="J85" i="13"/>
  <c r="J83" i="13"/>
  <c r="J81" i="13"/>
  <c r="J79" i="13"/>
  <c r="J77" i="13"/>
  <c r="J75" i="13"/>
  <c r="J72" i="13"/>
  <c r="J70" i="13"/>
  <c r="J68" i="13"/>
  <c r="J66" i="13"/>
  <c r="J64" i="13"/>
  <c r="J62" i="13"/>
  <c r="J60" i="13"/>
  <c r="J58" i="13"/>
  <c r="J56" i="13"/>
  <c r="J54" i="13"/>
  <c r="J51" i="13"/>
  <c r="J49" i="13"/>
  <c r="J47" i="13"/>
  <c r="J45" i="13"/>
  <c r="J43" i="13"/>
  <c r="J41" i="13"/>
  <c r="J39" i="13"/>
  <c r="J37" i="13"/>
  <c r="J35" i="13"/>
  <c r="J33" i="13"/>
  <c r="J30" i="13"/>
  <c r="J28" i="13"/>
  <c r="J26" i="13"/>
  <c r="J24" i="13"/>
  <c r="J22" i="13"/>
  <c r="J20" i="13"/>
  <c r="J18" i="13"/>
  <c r="J16" i="13"/>
  <c r="J14" i="13"/>
  <c r="J12" i="13"/>
  <c r="G115" i="13" l="1"/>
  <c r="D126" i="13"/>
  <c r="D87" i="13"/>
  <c r="G87" i="13" s="1"/>
  <c r="D93" i="13"/>
  <c r="K93" i="13" s="1"/>
  <c r="G108" i="3" s="1"/>
  <c r="D124" i="13"/>
  <c r="G124" i="13" s="1"/>
  <c r="G111" i="13"/>
  <c r="D122" i="13"/>
  <c r="G122" i="13" s="1"/>
  <c r="D91" i="13"/>
  <c r="K91" i="13" s="1"/>
  <c r="G106" i="3" s="1"/>
  <c r="D85" i="13"/>
  <c r="K85" i="13" s="1"/>
  <c r="G100" i="3" s="1"/>
  <c r="I120" i="13"/>
  <c r="D131" i="13"/>
  <c r="I131" i="13" s="1"/>
  <c r="D83" i="13"/>
  <c r="G83" i="13" s="1"/>
  <c r="D89" i="13"/>
  <c r="K89" i="13" s="1"/>
  <c r="G104" i="3" s="1"/>
  <c r="G102" i="13"/>
  <c r="D113" i="13"/>
  <c r="G113" i="13" s="1"/>
  <c r="I102" i="13"/>
  <c r="K87" i="13"/>
  <c r="G102" i="3" s="1"/>
  <c r="J107" i="1"/>
  <c r="K96" i="13"/>
  <c r="G111" i="3" s="1"/>
  <c r="I118" i="13"/>
  <c r="J106" i="1"/>
  <c r="J108" i="1"/>
  <c r="I93" i="13"/>
  <c r="K102" i="13"/>
  <c r="G117" i="3" s="1"/>
  <c r="K115" i="13"/>
  <c r="G130" i="3" s="1"/>
  <c r="G120" i="13"/>
  <c r="I111" i="13"/>
  <c r="K120" i="13"/>
  <c r="G135" i="3" s="1"/>
  <c r="G133" i="13"/>
  <c r="K135" i="13"/>
  <c r="G150" i="3" s="1"/>
  <c r="G118" i="13"/>
  <c r="K111" i="13"/>
  <c r="G126" i="3" s="1"/>
  <c r="G135" i="13"/>
  <c r="K133" i="13"/>
  <c r="G148" i="3" s="1"/>
  <c r="D16" i="9"/>
  <c r="G15" i="9"/>
  <c r="D15" i="9"/>
  <c r="D13" i="9"/>
  <c r="D12" i="9"/>
  <c r="D14" i="9"/>
  <c r="D11" i="9"/>
  <c r="D9" i="9"/>
  <c r="D8" i="9"/>
  <c r="G131" i="13" l="1"/>
  <c r="K83" i="13"/>
  <c r="G98" i="3" s="1"/>
  <c r="G93" i="13"/>
  <c r="G85" i="13"/>
  <c r="I85" i="13"/>
  <c r="I113" i="13"/>
  <c r="I122" i="13"/>
  <c r="G89" i="13"/>
  <c r="I91" i="13"/>
  <c r="I83" i="13"/>
  <c r="K113" i="13"/>
  <c r="G128" i="3" s="1"/>
  <c r="G91" i="13"/>
  <c r="I87" i="13"/>
  <c r="I89" i="13"/>
  <c r="K131" i="13"/>
  <c r="G146" i="3" s="1"/>
  <c r="K122" i="13"/>
  <c r="G137" i="3" s="1"/>
  <c r="I124" i="13"/>
  <c r="K124" i="13"/>
  <c r="G139" i="3" s="1"/>
  <c r="K118" i="13"/>
  <c r="G133" i="3" s="1"/>
  <c r="G96" i="13"/>
  <c r="I96" i="13"/>
  <c r="M29" i="3"/>
  <c r="M31" i="3"/>
  <c r="F31" i="3" s="1"/>
  <c r="M33" i="3"/>
  <c r="F33" i="3" s="1"/>
  <c r="M35" i="3"/>
  <c r="F35" i="3" s="1"/>
  <c r="M37" i="3"/>
  <c r="F37" i="3" s="1"/>
  <c r="M39" i="3"/>
  <c r="F39" i="3" s="1"/>
  <c r="M41" i="3"/>
  <c r="F41" i="3" s="1"/>
  <c r="M43" i="3"/>
  <c r="F43" i="3" s="1"/>
  <c r="M45" i="3"/>
  <c r="F45" i="3" s="1"/>
  <c r="M47" i="3"/>
  <c r="F47" i="3" s="1"/>
  <c r="M50" i="3"/>
  <c r="F50" i="3" s="1"/>
  <c r="M52" i="3"/>
  <c r="M54" i="3"/>
  <c r="F54" i="3" s="1"/>
  <c r="M56" i="3"/>
  <c r="F56" i="3" s="1"/>
  <c r="M58" i="3"/>
  <c r="F58" i="3" s="1"/>
  <c r="M60" i="3"/>
  <c r="F60" i="3" s="1"/>
  <c r="M62" i="3"/>
  <c r="F62" i="3" s="1"/>
  <c r="M64" i="3"/>
  <c r="F64" i="3" s="1"/>
  <c r="M66" i="3"/>
  <c r="F66" i="3" s="1"/>
  <c r="M68" i="3"/>
  <c r="F68" i="3" s="1"/>
  <c r="M71" i="3"/>
  <c r="M73" i="3"/>
  <c r="F73" i="3" s="1"/>
  <c r="M75" i="3"/>
  <c r="F75" i="3" s="1"/>
  <c r="M77" i="3"/>
  <c r="F77" i="3" s="1"/>
  <c r="M79" i="3"/>
  <c r="F79" i="3" s="1"/>
  <c r="M81" i="3"/>
  <c r="F81" i="3" s="1"/>
  <c r="M83" i="3"/>
  <c r="F83" i="3" s="1"/>
  <c r="M85" i="3"/>
  <c r="F85" i="3" s="1"/>
  <c r="M87" i="3"/>
  <c r="F87" i="3" s="1"/>
  <c r="M152" i="3"/>
  <c r="F152" i="3" s="1"/>
  <c r="J32" i="9"/>
  <c r="J31" i="9"/>
  <c r="K31" i="9" s="1"/>
  <c r="J30" i="9"/>
  <c r="K30" i="9" s="1"/>
  <c r="J29" i="9"/>
  <c r="J28" i="9"/>
  <c r="D33" i="9"/>
  <c r="H32" i="9" s="1"/>
  <c r="J62" i="4"/>
  <c r="G62" i="4" s="1"/>
  <c r="J63" i="4"/>
  <c r="J64" i="4"/>
  <c r="G64" i="4" s="1"/>
  <c r="J65" i="4"/>
  <c r="J66" i="4"/>
  <c r="J67" i="4"/>
  <c r="J68" i="4"/>
  <c r="J69" i="4"/>
  <c r="J70" i="4"/>
  <c r="J71" i="4"/>
  <c r="J56" i="4"/>
  <c r="G56" i="4" s="1"/>
  <c r="J52" i="4"/>
  <c r="G52" i="4" s="1"/>
  <c r="J50" i="4"/>
  <c r="G50" i="4" s="1"/>
  <c r="J51" i="4"/>
  <c r="G51" i="4" s="1"/>
  <c r="J53" i="4"/>
  <c r="F53" i="4" s="1"/>
  <c r="I150" i="1" s="1"/>
  <c r="J150" i="1" s="1"/>
  <c r="J54" i="4"/>
  <c r="F54" i="4" s="1"/>
  <c r="I151" i="1" s="1"/>
  <c r="J151" i="1" s="1"/>
  <c r="J55" i="4"/>
  <c r="F55" i="4" s="1"/>
  <c r="J57" i="4"/>
  <c r="J58" i="4"/>
  <c r="G58" i="4" s="1"/>
  <c r="J59" i="4"/>
  <c r="J45" i="4"/>
  <c r="G45" i="4" s="1"/>
  <c r="J38" i="4"/>
  <c r="G38" i="4" s="1"/>
  <c r="J39" i="4"/>
  <c r="J46" i="4"/>
  <c r="G46" i="4" s="1"/>
  <c r="J47" i="4"/>
  <c r="G47" i="4" s="1"/>
  <c r="J33" i="4"/>
  <c r="G33" i="4" s="1"/>
  <c r="J34" i="4"/>
  <c r="G34" i="4" s="1"/>
  <c r="J31" i="4"/>
  <c r="G31" i="4" s="1"/>
  <c r="J29" i="4"/>
  <c r="J27" i="4"/>
  <c r="J26" i="4"/>
  <c r="J28" i="4"/>
  <c r="G28" i="4" s="1"/>
  <c r="J30" i="4"/>
  <c r="G30" i="4" s="1"/>
  <c r="J32" i="4"/>
  <c r="G32" i="4" s="1"/>
  <c r="J35" i="4"/>
  <c r="J74" i="4"/>
  <c r="G74" i="4" s="1"/>
  <c r="J75" i="4"/>
  <c r="G75" i="4" s="1"/>
  <c r="J76" i="4"/>
  <c r="G76" i="4" s="1"/>
  <c r="J77" i="4"/>
  <c r="G77" i="4" s="1"/>
  <c r="J78" i="4"/>
  <c r="J79" i="4"/>
  <c r="J80" i="4"/>
  <c r="J81" i="4"/>
  <c r="J82" i="4"/>
  <c r="G82" i="4" s="1"/>
  <c r="J83" i="4"/>
  <c r="J47" i="9"/>
  <c r="D49" i="9"/>
  <c r="O168" i="3"/>
  <c r="O174" i="3"/>
  <c r="O178" i="3"/>
  <c r="O180" i="3"/>
  <c r="O182" i="3"/>
  <c r="O62" i="3"/>
  <c r="O60" i="3"/>
  <c r="O58" i="3"/>
  <c r="O56" i="3"/>
  <c r="O54" i="3"/>
  <c r="O52" i="3"/>
  <c r="O50" i="3"/>
  <c r="O47" i="3"/>
  <c r="O45" i="3"/>
  <c r="O43" i="3"/>
  <c r="O41" i="3"/>
  <c r="O39" i="3"/>
  <c r="O37" i="3"/>
  <c r="O35" i="3"/>
  <c r="O33" i="3"/>
  <c r="O31" i="3"/>
  <c r="O29" i="3"/>
  <c r="O64" i="3"/>
  <c r="O66" i="3"/>
  <c r="O68" i="3"/>
  <c r="O71" i="3"/>
  <c r="O73" i="3"/>
  <c r="O75" i="3"/>
  <c r="O77" i="3"/>
  <c r="O79" i="3"/>
  <c r="O81" i="3"/>
  <c r="O83" i="3"/>
  <c r="O85" i="3"/>
  <c r="O87" i="3"/>
  <c r="O152" i="3"/>
  <c r="L168" i="3"/>
  <c r="M168" i="3"/>
  <c r="F168" i="3" s="1"/>
  <c r="L174" i="3"/>
  <c r="M174" i="3"/>
  <c r="F174" i="3" s="1"/>
  <c r="L178" i="3"/>
  <c r="M178" i="3"/>
  <c r="F180" i="3"/>
  <c r="M180" i="3"/>
  <c r="S180" i="3" s="1"/>
  <c r="L182" i="3"/>
  <c r="F182" i="3" s="1"/>
  <c r="M182" i="3"/>
  <c r="G182" i="3" s="1"/>
  <c r="M156" i="3"/>
  <c r="F156" i="3" s="1"/>
  <c r="L156" i="3"/>
  <c r="L158" i="3"/>
  <c r="M158" i="3"/>
  <c r="F158" i="3" s="1"/>
  <c r="L162" i="3"/>
  <c r="M162" i="3"/>
  <c r="L164" i="3"/>
  <c r="M164" i="3"/>
  <c r="F164" i="3" s="1"/>
  <c r="J46" i="9"/>
  <c r="K46" i="9" s="1"/>
  <c r="I35" i="1"/>
  <c r="J32" i="2"/>
  <c r="J33" i="2"/>
  <c r="J44" i="9"/>
  <c r="L40" i="2"/>
  <c r="L39" i="2"/>
  <c r="I38" i="2"/>
  <c r="J38" i="2"/>
  <c r="K40" i="2"/>
  <c r="E40" i="2" s="1"/>
  <c r="L41" i="2"/>
  <c r="K41" i="2" s="1"/>
  <c r="G41" i="2" s="1"/>
  <c r="D41" i="2" s="1"/>
  <c r="K42" i="2"/>
  <c r="F42" i="2" s="1"/>
  <c r="K43" i="2"/>
  <c r="G43" i="2" s="1"/>
  <c r="D43" i="2" s="1"/>
  <c r="K44" i="2"/>
  <c r="E44" i="2" s="1"/>
  <c r="N45" i="2"/>
  <c r="L82" i="2"/>
  <c r="L81" i="2"/>
  <c r="K81" i="2" s="1"/>
  <c r="E81" i="2" s="1"/>
  <c r="K82" i="2"/>
  <c r="G82" i="2" s="1"/>
  <c r="D82" i="2" s="1"/>
  <c r="K84" i="2"/>
  <c r="E84" i="2" s="1"/>
  <c r="K85" i="2"/>
  <c r="G85" i="2" s="1"/>
  <c r="D85" i="2" s="1"/>
  <c r="K86" i="2"/>
  <c r="F86" i="2" s="1"/>
  <c r="N87" i="2"/>
  <c r="L88" i="2"/>
  <c r="K88" i="2" s="1"/>
  <c r="F88" i="2" s="1"/>
  <c r="L89" i="2"/>
  <c r="K89" i="2" s="1"/>
  <c r="E89" i="2" s="1"/>
  <c r="K92" i="2"/>
  <c r="G92" i="2" s="1"/>
  <c r="D92" i="2" s="1"/>
  <c r="K93" i="2"/>
  <c r="F93" i="2" s="1"/>
  <c r="N94" i="2"/>
  <c r="N52" i="2"/>
  <c r="K49" i="2"/>
  <c r="F49" i="2" s="1"/>
  <c r="K50" i="2"/>
  <c r="F50" i="2" s="1"/>
  <c r="K51" i="2"/>
  <c r="E51" i="2" s="1"/>
  <c r="N59" i="2"/>
  <c r="K56" i="2"/>
  <c r="F56" i="2" s="1"/>
  <c r="K57" i="2"/>
  <c r="F57" i="2" s="1"/>
  <c r="K58" i="2"/>
  <c r="E58" i="2" s="1"/>
  <c r="N66" i="2"/>
  <c r="K63" i="2"/>
  <c r="F63" i="2" s="1"/>
  <c r="K64" i="2"/>
  <c r="F64" i="2" s="1"/>
  <c r="K65" i="2"/>
  <c r="G65" i="2" s="1"/>
  <c r="D65" i="2" s="1"/>
  <c r="N73" i="2"/>
  <c r="K70" i="2"/>
  <c r="G70" i="2" s="1"/>
  <c r="D70" i="2" s="1"/>
  <c r="K71" i="2"/>
  <c r="E71" i="2" s="1"/>
  <c r="K72" i="2"/>
  <c r="G72" i="2" s="1"/>
  <c r="D72" i="2" s="1"/>
  <c r="N80" i="2"/>
  <c r="K78" i="2"/>
  <c r="F78" i="2" s="1"/>
  <c r="K79" i="2"/>
  <c r="F79" i="2" s="1"/>
  <c r="N101" i="2"/>
  <c r="K99" i="2"/>
  <c r="K100" i="2"/>
  <c r="N108" i="2"/>
  <c r="K106" i="2"/>
  <c r="K107" i="2"/>
  <c r="N115" i="2"/>
  <c r="K113" i="2"/>
  <c r="K114" i="2"/>
  <c r="N122" i="2"/>
  <c r="K120" i="2"/>
  <c r="K121" i="2"/>
  <c r="N129" i="2"/>
  <c r="K127" i="2"/>
  <c r="K128" i="2"/>
  <c r="N136" i="2"/>
  <c r="K134" i="2"/>
  <c r="K135" i="2"/>
  <c r="N143" i="2"/>
  <c r="K139" i="2"/>
  <c r="K140" i="2"/>
  <c r="K141" i="2"/>
  <c r="K142" i="2"/>
  <c r="N150" i="2"/>
  <c r="K148" i="2"/>
  <c r="K149" i="2"/>
  <c r="N157" i="2"/>
  <c r="K155" i="2"/>
  <c r="K156" i="2"/>
  <c r="N164" i="2"/>
  <c r="K162" i="2"/>
  <c r="K163" i="2"/>
  <c r="N171" i="2"/>
  <c r="K169" i="2"/>
  <c r="K170" i="2"/>
  <c r="G170" i="2" s="1"/>
  <c r="N178" i="2"/>
  <c r="K176" i="2"/>
  <c r="K177" i="2"/>
  <c r="N185" i="2"/>
  <c r="K183" i="2"/>
  <c r="K184" i="2"/>
  <c r="N192" i="2"/>
  <c r="K190" i="2"/>
  <c r="F190" i="2" s="1"/>
  <c r="K191" i="2"/>
  <c r="G191" i="2" s="1"/>
  <c r="D191" i="2" s="1"/>
  <c r="N199" i="2"/>
  <c r="K197" i="2"/>
  <c r="G197" i="2" s="1"/>
  <c r="D197" i="2" s="1"/>
  <c r="K198" i="2"/>
  <c r="F198" i="2" s="1"/>
  <c r="N206" i="2"/>
  <c r="K205" i="2"/>
  <c r="J209" i="2"/>
  <c r="J210" i="2"/>
  <c r="J211" i="2"/>
  <c r="J212" i="2"/>
  <c r="J213" i="2"/>
  <c r="J214" i="2"/>
  <c r="J215" i="2"/>
  <c r="J216" i="2"/>
  <c r="J217" i="2"/>
  <c r="J218" i="2"/>
  <c r="J219" i="2"/>
  <c r="J220" i="2"/>
  <c r="J222" i="2"/>
  <c r="J223" i="2"/>
  <c r="J224" i="2"/>
  <c r="J225" i="2"/>
  <c r="J226" i="2"/>
  <c r="J227" i="2"/>
  <c r="J228" i="2"/>
  <c r="J229" i="2"/>
  <c r="J230" i="2"/>
  <c r="J231" i="2"/>
  <c r="J232" i="2"/>
  <c r="J233" i="2"/>
  <c r="J237" i="2"/>
  <c r="G237" i="2" s="1"/>
  <c r="D237" i="2" s="1"/>
  <c r="J238" i="2"/>
  <c r="J239" i="2"/>
  <c r="J240" i="2"/>
  <c r="G240" i="2" s="1"/>
  <c r="D240" i="2" s="1"/>
  <c r="J241" i="2"/>
  <c r="J242" i="2"/>
  <c r="G242" i="2" s="1"/>
  <c r="D242" i="2" s="1"/>
  <c r="J243" i="2"/>
  <c r="J244" i="2"/>
  <c r="G244" i="2" s="1"/>
  <c r="D244" i="2" s="1"/>
  <c r="J245" i="2"/>
  <c r="G245" i="2" s="1"/>
  <c r="D245" i="2" s="1"/>
  <c r="J246" i="2"/>
  <c r="G246" i="2" s="1"/>
  <c r="D246" i="2" s="1"/>
  <c r="J247" i="2"/>
  <c r="G247" i="2" s="1"/>
  <c r="D247" i="2" s="1"/>
  <c r="J248" i="2"/>
  <c r="G248" i="2" s="1"/>
  <c r="D248" i="2" s="1"/>
  <c r="J250" i="2"/>
  <c r="J251" i="2"/>
  <c r="J252" i="2"/>
  <c r="G252" i="2" s="1"/>
  <c r="D252" i="2" s="1"/>
  <c r="J253" i="2"/>
  <c r="G253" i="2" s="1"/>
  <c r="D253" i="2" s="1"/>
  <c r="J254" i="2"/>
  <c r="G254" i="2" s="1"/>
  <c r="D254" i="2" s="1"/>
  <c r="J255" i="2"/>
  <c r="J256" i="2"/>
  <c r="G256" i="2" s="1"/>
  <c r="D256" i="2" s="1"/>
  <c r="J257" i="2"/>
  <c r="G257" i="2" s="1"/>
  <c r="D257" i="2" s="1"/>
  <c r="J258" i="2"/>
  <c r="G258" i="2" s="1"/>
  <c r="D258" i="2" s="1"/>
  <c r="J259" i="2"/>
  <c r="G259" i="2" s="1"/>
  <c r="D259" i="2" s="1"/>
  <c r="J260" i="2"/>
  <c r="G260" i="2" s="1"/>
  <c r="D260" i="2" s="1"/>
  <c r="J261" i="2"/>
  <c r="G261" i="2" s="1"/>
  <c r="D261" i="2" s="1"/>
  <c r="L265" i="2"/>
  <c r="L266" i="2"/>
  <c r="L267" i="2"/>
  <c r="L268" i="2"/>
  <c r="L269" i="2"/>
  <c r="L270" i="2"/>
  <c r="L271" i="2"/>
  <c r="L272" i="2"/>
  <c r="L273" i="2"/>
  <c r="L274" i="2"/>
  <c r="L276" i="2"/>
  <c r="L277" i="2"/>
  <c r="L278" i="2"/>
  <c r="L279" i="2"/>
  <c r="L280" i="2"/>
  <c r="L281" i="2"/>
  <c r="L282" i="2"/>
  <c r="L283" i="2"/>
  <c r="L284" i="2"/>
  <c r="L285" i="2"/>
  <c r="L287" i="2"/>
  <c r="L288" i="2"/>
  <c r="L289" i="2"/>
  <c r="L290" i="2"/>
  <c r="L291" i="2"/>
  <c r="L292" i="2"/>
  <c r="L293" i="2"/>
  <c r="L294" i="2"/>
  <c r="L295" i="2"/>
  <c r="L296" i="2"/>
  <c r="L298" i="2"/>
  <c r="L299" i="2"/>
  <c r="L300" i="2"/>
  <c r="L301" i="2"/>
  <c r="L302" i="2"/>
  <c r="L303" i="2"/>
  <c r="L304" i="2"/>
  <c r="L305" i="2"/>
  <c r="L306" i="2"/>
  <c r="L307" i="2"/>
  <c r="L309" i="2"/>
  <c r="L310" i="2"/>
  <c r="L311" i="2"/>
  <c r="L312" i="2"/>
  <c r="L313" i="2"/>
  <c r="L314" i="2"/>
  <c r="L315" i="2"/>
  <c r="L316" i="2"/>
  <c r="L317" i="2"/>
  <c r="L318" i="2"/>
  <c r="L320" i="2"/>
  <c r="L321" i="2"/>
  <c r="L322" i="2"/>
  <c r="L323" i="2"/>
  <c r="L324" i="2"/>
  <c r="L325" i="2"/>
  <c r="L326" i="2"/>
  <c r="L327" i="2"/>
  <c r="L328" i="2"/>
  <c r="L329" i="2"/>
  <c r="L331" i="2"/>
  <c r="L332" i="2"/>
  <c r="L333" i="2"/>
  <c r="L334" i="2"/>
  <c r="L335" i="2"/>
  <c r="L336" i="2"/>
  <c r="L337" i="2"/>
  <c r="L338" i="2"/>
  <c r="L339" i="2"/>
  <c r="L340" i="2"/>
  <c r="L342" i="2"/>
  <c r="L343" i="2"/>
  <c r="L344" i="2"/>
  <c r="L345" i="2"/>
  <c r="L346" i="2"/>
  <c r="L347" i="2"/>
  <c r="L348" i="2"/>
  <c r="L349" i="2"/>
  <c r="L350" i="2"/>
  <c r="L351" i="2"/>
  <c r="L353" i="2"/>
  <c r="L354" i="2"/>
  <c r="L355" i="2"/>
  <c r="L356" i="2"/>
  <c r="L357" i="2"/>
  <c r="L358" i="2"/>
  <c r="L359" i="2"/>
  <c r="L360" i="2"/>
  <c r="L361" i="2"/>
  <c r="L362" i="2"/>
  <c r="L364" i="2"/>
  <c r="L365" i="2"/>
  <c r="L366" i="2"/>
  <c r="L367" i="2"/>
  <c r="L368" i="2"/>
  <c r="L369" i="2"/>
  <c r="L370" i="2"/>
  <c r="L371" i="2"/>
  <c r="L372" i="2"/>
  <c r="L373" i="2"/>
  <c r="L375" i="2"/>
  <c r="L376" i="2"/>
  <c r="L377" i="2"/>
  <c r="L378" i="2"/>
  <c r="L379" i="2"/>
  <c r="L380" i="2"/>
  <c r="L381" i="2"/>
  <c r="L382" i="2"/>
  <c r="L383" i="2"/>
  <c r="L384" i="2"/>
  <c r="L386" i="2"/>
  <c r="L387" i="2"/>
  <c r="L388" i="2"/>
  <c r="L389" i="2"/>
  <c r="L390" i="2"/>
  <c r="L391" i="2"/>
  <c r="L392" i="2"/>
  <c r="L393" i="2"/>
  <c r="L394" i="2"/>
  <c r="L395" i="2"/>
  <c r="L397" i="2"/>
  <c r="L398" i="2"/>
  <c r="L399" i="2"/>
  <c r="L400" i="2"/>
  <c r="L401" i="2"/>
  <c r="L402" i="2"/>
  <c r="L403" i="2"/>
  <c r="L404" i="2"/>
  <c r="L405" i="2"/>
  <c r="L406" i="2"/>
  <c r="L408" i="2"/>
  <c r="L409" i="2"/>
  <c r="L410" i="2"/>
  <c r="L411" i="2"/>
  <c r="L412" i="2"/>
  <c r="L413" i="2"/>
  <c r="L414" i="2"/>
  <c r="L415" i="2"/>
  <c r="L416" i="2"/>
  <c r="L417" i="2"/>
  <c r="L419" i="2"/>
  <c r="L420" i="2"/>
  <c r="L421" i="2"/>
  <c r="L422" i="2"/>
  <c r="L423" i="2"/>
  <c r="L424" i="2"/>
  <c r="L425" i="2"/>
  <c r="L426" i="2"/>
  <c r="L427" i="2"/>
  <c r="L428" i="2"/>
  <c r="L430" i="2"/>
  <c r="L431" i="2"/>
  <c r="L432" i="2"/>
  <c r="L433" i="2"/>
  <c r="L434" i="2"/>
  <c r="L435" i="2"/>
  <c r="L436" i="2"/>
  <c r="L437" i="2"/>
  <c r="L438" i="2"/>
  <c r="L439" i="2"/>
  <c r="L441" i="2"/>
  <c r="L442" i="2"/>
  <c r="L443" i="2"/>
  <c r="L444" i="2"/>
  <c r="L445" i="2"/>
  <c r="L446" i="2"/>
  <c r="L447" i="2"/>
  <c r="L448" i="2"/>
  <c r="L449" i="2"/>
  <c r="L450" i="2"/>
  <c r="L452" i="2"/>
  <c r="L453" i="2"/>
  <c r="L454" i="2"/>
  <c r="L455" i="2"/>
  <c r="L456" i="2"/>
  <c r="L457" i="2"/>
  <c r="L458" i="2"/>
  <c r="L459" i="2"/>
  <c r="L460" i="2"/>
  <c r="L461" i="2"/>
  <c r="L463" i="2"/>
  <c r="L464" i="2"/>
  <c r="L465" i="2"/>
  <c r="L466" i="2"/>
  <c r="L467" i="2"/>
  <c r="L468" i="2"/>
  <c r="L469" i="2"/>
  <c r="L470" i="2"/>
  <c r="L471" i="2"/>
  <c r="L472" i="2"/>
  <c r="L474" i="2"/>
  <c r="L475" i="2"/>
  <c r="L476" i="2"/>
  <c r="L477" i="2"/>
  <c r="L478" i="2"/>
  <c r="L479" i="2"/>
  <c r="L480" i="2"/>
  <c r="L481" i="2"/>
  <c r="L482" i="2"/>
  <c r="L483" i="2"/>
  <c r="L485" i="2"/>
  <c r="L486" i="2"/>
  <c r="L487" i="2"/>
  <c r="L488" i="2"/>
  <c r="L489" i="2"/>
  <c r="L490" i="2"/>
  <c r="L491" i="2"/>
  <c r="L492" i="2"/>
  <c r="L493" i="2"/>
  <c r="L494" i="2"/>
  <c r="L496" i="2"/>
  <c r="L497" i="2"/>
  <c r="L498" i="2"/>
  <c r="L499" i="2"/>
  <c r="L500" i="2"/>
  <c r="L501" i="2"/>
  <c r="L502" i="2"/>
  <c r="L503" i="2"/>
  <c r="L504" i="2"/>
  <c r="L505" i="2"/>
  <c r="L507" i="2"/>
  <c r="L508" i="2"/>
  <c r="L509" i="2"/>
  <c r="L510" i="2"/>
  <c r="L511" i="2"/>
  <c r="L512" i="2"/>
  <c r="L513" i="2"/>
  <c r="L514" i="2"/>
  <c r="L515" i="2"/>
  <c r="L516" i="2"/>
  <c r="L518" i="2"/>
  <c r="L519" i="2"/>
  <c r="L520" i="2"/>
  <c r="L521" i="2"/>
  <c r="L522" i="2"/>
  <c r="L523" i="2"/>
  <c r="L524" i="2"/>
  <c r="L525" i="2"/>
  <c r="L526" i="2"/>
  <c r="L527" i="2"/>
  <c r="K640" i="2"/>
  <c r="J797" i="2"/>
  <c r="J798" i="2"/>
  <c r="G798" i="2" s="1"/>
  <c r="D798" i="2" s="1"/>
  <c r="J800" i="2"/>
  <c r="G800" i="2" s="1"/>
  <c r="D800" i="2" s="1"/>
  <c r="J801" i="2"/>
  <c r="J803" i="2"/>
  <c r="F803" i="2" s="1"/>
  <c r="J804" i="2"/>
  <c r="J806" i="2"/>
  <c r="F806" i="2" s="1"/>
  <c r="J807" i="2"/>
  <c r="G807" i="2" s="1"/>
  <c r="D807" i="2" s="1"/>
  <c r="J809" i="2"/>
  <c r="G809" i="2" s="1"/>
  <c r="D809" i="2" s="1"/>
  <c r="J810" i="2"/>
  <c r="J812" i="2"/>
  <c r="G812" i="2" s="1"/>
  <c r="D812" i="2" s="1"/>
  <c r="J813" i="2"/>
  <c r="G813" i="2" s="1"/>
  <c r="D813" i="2" s="1"/>
  <c r="J815" i="2"/>
  <c r="G815" i="2" s="1"/>
  <c r="D815" i="2" s="1"/>
  <c r="J816" i="2"/>
  <c r="J818" i="2"/>
  <c r="J819" i="2"/>
  <c r="J821" i="2"/>
  <c r="J822" i="2"/>
  <c r="J824" i="2"/>
  <c r="G824" i="2" s="1"/>
  <c r="D824" i="2" s="1"/>
  <c r="J825" i="2"/>
  <c r="J827" i="2"/>
  <c r="G827" i="2" s="1"/>
  <c r="D827" i="2" s="1"/>
  <c r="J828" i="2"/>
  <c r="J830" i="2"/>
  <c r="G830" i="2" s="1"/>
  <c r="D830" i="2" s="1"/>
  <c r="J831" i="2"/>
  <c r="G831" i="2" s="1"/>
  <c r="D831" i="2" s="1"/>
  <c r="J833" i="2"/>
  <c r="J834" i="2"/>
  <c r="J836" i="2"/>
  <c r="J837" i="2"/>
  <c r="J839" i="2"/>
  <c r="J840" i="2"/>
  <c r="J842" i="2"/>
  <c r="G842" i="2" s="1"/>
  <c r="D842" i="2" s="1"/>
  <c r="J843" i="2"/>
  <c r="G843" i="2" s="1"/>
  <c r="D843" i="2" s="1"/>
  <c r="J845" i="2"/>
  <c r="G845" i="2" s="1"/>
  <c r="D845" i="2" s="1"/>
  <c r="J846" i="2"/>
  <c r="G846" i="2" s="1"/>
  <c r="D846" i="2" s="1"/>
  <c r="J848" i="2"/>
  <c r="G848" i="2" s="1"/>
  <c r="D848" i="2" s="1"/>
  <c r="J849" i="2"/>
  <c r="J851" i="2"/>
  <c r="J852" i="2"/>
  <c r="J854" i="2"/>
  <c r="G854" i="2" s="1"/>
  <c r="D854" i="2" s="1"/>
  <c r="J855" i="2"/>
  <c r="J857" i="2"/>
  <c r="J858" i="2"/>
  <c r="J860" i="2"/>
  <c r="J861" i="2"/>
  <c r="G861" i="2" s="1"/>
  <c r="D861" i="2" s="1"/>
  <c r="J863" i="2"/>
  <c r="G863" i="2" s="1"/>
  <c r="D863" i="2" s="1"/>
  <c r="J864" i="2"/>
  <c r="G864" i="2" s="1"/>
  <c r="D864" i="2" s="1"/>
  <c r="J866" i="2"/>
  <c r="G866" i="2" s="1"/>
  <c r="D866" i="2" s="1"/>
  <c r="J867" i="2"/>
  <c r="G867" i="2" s="1"/>
  <c r="D867" i="2" s="1"/>
  <c r="J871" i="2"/>
  <c r="F871" i="2" s="1"/>
  <c r="J872" i="2"/>
  <c r="J874" i="2"/>
  <c r="J875" i="2"/>
  <c r="G875" i="2" s="1"/>
  <c r="D875" i="2" s="1"/>
  <c r="J877" i="2"/>
  <c r="J878" i="2"/>
  <c r="J880" i="2"/>
  <c r="G880" i="2" s="1"/>
  <c r="D880" i="2" s="1"/>
  <c r="J881" i="2"/>
  <c r="G881" i="2" s="1"/>
  <c r="D881" i="2" s="1"/>
  <c r="J883" i="2"/>
  <c r="G883" i="2" s="1"/>
  <c r="D883" i="2" s="1"/>
  <c r="J884" i="2"/>
  <c r="J886" i="2"/>
  <c r="G886" i="2" s="1"/>
  <c r="D886" i="2" s="1"/>
  <c r="J887" i="2"/>
  <c r="J889" i="2"/>
  <c r="J890" i="2"/>
  <c r="J892" i="2"/>
  <c r="G892" i="2" s="1"/>
  <c r="D892" i="2" s="1"/>
  <c r="J893" i="2"/>
  <c r="J895" i="2"/>
  <c r="J896" i="2"/>
  <c r="J898" i="2"/>
  <c r="G898" i="2" s="1"/>
  <c r="D898" i="2" s="1"/>
  <c r="J899" i="2"/>
  <c r="G899" i="2" s="1"/>
  <c r="D899" i="2" s="1"/>
  <c r="J901" i="2"/>
  <c r="G901" i="2" s="1"/>
  <c r="D901" i="2" s="1"/>
  <c r="J902" i="2"/>
  <c r="J904" i="2"/>
  <c r="G904" i="2" s="1"/>
  <c r="D904" i="2" s="1"/>
  <c r="J905" i="2"/>
  <c r="G905" i="2" s="1"/>
  <c r="D905" i="2" s="1"/>
  <c r="J907" i="2"/>
  <c r="G907" i="2" s="1"/>
  <c r="D907" i="2" s="1"/>
  <c r="J908" i="2"/>
  <c r="J910" i="2"/>
  <c r="J911" i="2"/>
  <c r="J913" i="2"/>
  <c r="J914" i="2"/>
  <c r="J916" i="2"/>
  <c r="G916" i="2" s="1"/>
  <c r="D916" i="2" s="1"/>
  <c r="J917" i="2"/>
  <c r="J919" i="2"/>
  <c r="G919" i="2" s="1"/>
  <c r="D919" i="2" s="1"/>
  <c r="J920" i="2"/>
  <c r="J922" i="2"/>
  <c r="G922" i="2" s="1"/>
  <c r="D922" i="2" s="1"/>
  <c r="J923" i="2"/>
  <c r="G923" i="2" s="1"/>
  <c r="D923" i="2" s="1"/>
  <c r="J925" i="2"/>
  <c r="J926" i="2"/>
  <c r="J928" i="2"/>
  <c r="G928" i="2" s="1"/>
  <c r="D928" i="2" s="1"/>
  <c r="J929" i="2"/>
  <c r="J931" i="2"/>
  <c r="J932" i="2"/>
  <c r="J934" i="2"/>
  <c r="G934" i="2" s="1"/>
  <c r="D934" i="2" s="1"/>
  <c r="J935" i="2"/>
  <c r="J937" i="2"/>
  <c r="G937" i="2" s="1"/>
  <c r="D937" i="2" s="1"/>
  <c r="J938" i="2"/>
  <c r="J940" i="2"/>
  <c r="G940" i="2" s="1"/>
  <c r="D940" i="2" s="1"/>
  <c r="J941" i="2"/>
  <c r="G941" i="2" s="1"/>
  <c r="D941" i="2" s="1"/>
  <c r="J945" i="2"/>
  <c r="G945" i="2" s="1"/>
  <c r="D945" i="2" s="1"/>
  <c r="J946" i="2"/>
  <c r="G946" i="2" s="1"/>
  <c r="D946" i="2" s="1"/>
  <c r="J947" i="2"/>
  <c r="J948" i="2"/>
  <c r="G948" i="2" s="1"/>
  <c r="D948" i="2" s="1"/>
  <c r="J949" i="2"/>
  <c r="J950" i="2"/>
  <c r="G950" i="2" s="1"/>
  <c r="D950" i="2" s="1"/>
  <c r="J951" i="2"/>
  <c r="G951" i="2" s="1"/>
  <c r="D951" i="2" s="1"/>
  <c r="J952" i="2"/>
  <c r="G952" i="2" s="1"/>
  <c r="D952" i="2" s="1"/>
  <c r="J953" i="2"/>
  <c r="G953" i="2" s="1"/>
  <c r="D953" i="2" s="1"/>
  <c r="J954" i="2"/>
  <c r="G954" i="2" s="1"/>
  <c r="D954" i="2" s="1"/>
  <c r="J955" i="2"/>
  <c r="G955" i="2" s="1"/>
  <c r="D955" i="2" s="1"/>
  <c r="J956" i="2"/>
  <c r="G956" i="2" s="1"/>
  <c r="D956" i="2" s="1"/>
  <c r="J958" i="2"/>
  <c r="F958" i="2" s="1"/>
  <c r="J959" i="2"/>
  <c r="J960" i="2"/>
  <c r="J961" i="2"/>
  <c r="J962" i="2"/>
  <c r="J963" i="2"/>
  <c r="G963" i="2" s="1"/>
  <c r="D963" i="2" s="1"/>
  <c r="J964" i="2"/>
  <c r="G964" i="2" s="1"/>
  <c r="D964" i="2" s="1"/>
  <c r="J965" i="2"/>
  <c r="G965" i="2" s="1"/>
  <c r="D965" i="2" s="1"/>
  <c r="J966" i="2"/>
  <c r="G966" i="2" s="1"/>
  <c r="D966" i="2" s="1"/>
  <c r="J967" i="2"/>
  <c r="G967" i="2" s="1"/>
  <c r="D967" i="2" s="1"/>
  <c r="J968" i="2"/>
  <c r="G968" i="2" s="1"/>
  <c r="D968" i="2" s="1"/>
  <c r="J969" i="2"/>
  <c r="G969" i="2" s="1"/>
  <c r="D969" i="2" s="1"/>
  <c r="J973" i="2"/>
  <c r="G973" i="2" s="1"/>
  <c r="D973" i="2" s="1"/>
  <c r="J974" i="2"/>
  <c r="J976" i="2"/>
  <c r="J977" i="2"/>
  <c r="J979" i="2"/>
  <c r="G979" i="2" s="1"/>
  <c r="D979" i="2" s="1"/>
  <c r="J980" i="2"/>
  <c r="J982" i="2"/>
  <c r="G982" i="2" s="1"/>
  <c r="D982" i="2" s="1"/>
  <c r="J983" i="2"/>
  <c r="J985" i="2"/>
  <c r="G985" i="2" s="1"/>
  <c r="D985" i="2" s="1"/>
  <c r="J986" i="2"/>
  <c r="G986" i="2" s="1"/>
  <c r="D986" i="2" s="1"/>
  <c r="J988" i="2"/>
  <c r="G988" i="2" s="1"/>
  <c r="D988" i="2" s="1"/>
  <c r="J989" i="2"/>
  <c r="G989" i="2" s="1"/>
  <c r="D989" i="2" s="1"/>
  <c r="J991" i="2"/>
  <c r="G991" i="2" s="1"/>
  <c r="J992" i="2"/>
  <c r="J994" i="2"/>
  <c r="J995" i="2"/>
  <c r="J997" i="2"/>
  <c r="J998" i="2"/>
  <c r="J1000" i="2"/>
  <c r="G1000" i="2" s="1"/>
  <c r="D1000" i="2" s="1"/>
  <c r="J1001" i="2"/>
  <c r="J1003" i="2"/>
  <c r="G1003" i="2" s="1"/>
  <c r="D1003" i="2" s="1"/>
  <c r="J1004" i="2"/>
  <c r="J1006" i="2"/>
  <c r="G1006" i="2" s="1"/>
  <c r="D1006" i="2" s="1"/>
  <c r="J1007" i="2"/>
  <c r="J1009" i="2"/>
  <c r="G1009" i="2" s="1"/>
  <c r="D1009" i="2" s="1"/>
  <c r="J1010" i="2"/>
  <c r="J1012" i="2"/>
  <c r="J1013" i="2"/>
  <c r="J1015" i="2"/>
  <c r="J1016" i="2"/>
  <c r="J1018" i="2"/>
  <c r="G1018" i="2" s="1"/>
  <c r="D1018" i="2" s="1"/>
  <c r="J1019" i="2"/>
  <c r="J1021" i="2"/>
  <c r="G1021" i="2" s="1"/>
  <c r="D1021" i="2" s="1"/>
  <c r="J1022" i="2"/>
  <c r="G1022" i="2" s="1"/>
  <c r="D1022" i="2" s="1"/>
  <c r="J1024" i="2"/>
  <c r="G1024" i="2" s="1"/>
  <c r="D1024" i="2" s="1"/>
  <c r="J1025" i="2"/>
  <c r="J1027" i="2"/>
  <c r="G1027" i="2" s="1"/>
  <c r="D1027" i="2" s="1"/>
  <c r="J1028" i="2"/>
  <c r="J1030" i="2"/>
  <c r="G1030" i="2" s="1"/>
  <c r="D1030" i="2" s="1"/>
  <c r="J1031" i="2"/>
  <c r="J1033" i="2"/>
  <c r="J1034" i="2"/>
  <c r="K1035" i="2" s="1"/>
  <c r="J1036" i="2"/>
  <c r="G1036" i="2" s="1"/>
  <c r="D1036" i="2" s="1"/>
  <c r="J1037" i="2"/>
  <c r="J1039" i="2"/>
  <c r="G1039" i="2" s="1"/>
  <c r="D1039" i="2" s="1"/>
  <c r="J1040" i="2"/>
  <c r="J1042" i="2"/>
  <c r="G1042" i="2" s="1"/>
  <c r="D1042" i="2" s="1"/>
  <c r="J1043" i="2"/>
  <c r="J1047" i="2"/>
  <c r="J1048" i="2"/>
  <c r="J1049" i="2"/>
  <c r="G1049" i="2" s="1"/>
  <c r="D1049" i="2" s="1"/>
  <c r="J1050" i="2"/>
  <c r="J1051" i="2"/>
  <c r="G1051" i="2" s="1"/>
  <c r="D1051" i="2" s="1"/>
  <c r="J1052" i="2"/>
  <c r="G1052" i="2" s="1"/>
  <c r="D1052" i="2" s="1"/>
  <c r="J1053" i="2"/>
  <c r="G1053" i="2" s="1"/>
  <c r="D1053" i="2" s="1"/>
  <c r="J1054" i="2"/>
  <c r="G1054" i="2" s="1"/>
  <c r="D1054" i="2" s="1"/>
  <c r="J1055" i="2"/>
  <c r="G1055" i="2" s="1"/>
  <c r="D1055" i="2" s="1"/>
  <c r="J1056" i="2"/>
  <c r="G1056" i="2" s="1"/>
  <c r="D1056" i="2" s="1"/>
  <c r="J1057" i="2"/>
  <c r="G1057" i="2" s="1"/>
  <c r="D1057" i="2" s="1"/>
  <c r="J1058" i="2"/>
  <c r="J1060" i="2"/>
  <c r="G1060" i="2" s="1"/>
  <c r="D1060" i="2" s="1"/>
  <c r="J1061" i="2"/>
  <c r="J1062" i="2"/>
  <c r="J1063" i="2"/>
  <c r="J1064" i="2"/>
  <c r="G1064" i="2" s="1"/>
  <c r="D1064" i="2" s="1"/>
  <c r="J1065" i="2"/>
  <c r="G1065" i="2" s="1"/>
  <c r="D1065" i="2" s="1"/>
  <c r="J1066" i="2"/>
  <c r="G1066" i="2" s="1"/>
  <c r="D1066" i="2" s="1"/>
  <c r="J1067" i="2"/>
  <c r="G1067" i="2" s="1"/>
  <c r="D1067" i="2" s="1"/>
  <c r="J1068" i="2"/>
  <c r="G1068" i="2" s="1"/>
  <c r="D1068" i="2" s="1"/>
  <c r="J1069" i="2"/>
  <c r="G1069" i="2" s="1"/>
  <c r="D1069" i="2" s="1"/>
  <c r="J1070" i="2"/>
  <c r="J1071" i="2"/>
  <c r="J1075" i="2"/>
  <c r="J1076" i="2"/>
  <c r="J1077" i="2"/>
  <c r="G1077" i="2" s="1"/>
  <c r="D1077" i="2" s="1"/>
  <c r="J1078" i="2"/>
  <c r="J1079" i="2"/>
  <c r="G1079" i="2" s="1"/>
  <c r="J1080" i="2"/>
  <c r="G1080" i="2" s="1"/>
  <c r="D1080" i="2" s="1"/>
  <c r="J1081" i="2"/>
  <c r="G1081" i="2" s="1"/>
  <c r="D1081" i="2" s="1"/>
  <c r="J1082" i="2"/>
  <c r="G1082" i="2" s="1"/>
  <c r="D1082" i="2" s="1"/>
  <c r="J1083" i="2"/>
  <c r="G1083" i="2" s="1"/>
  <c r="D1083" i="2" s="1"/>
  <c r="J1084" i="2"/>
  <c r="G1084" i="2" s="1"/>
  <c r="D1084" i="2" s="1"/>
  <c r="J1085" i="2"/>
  <c r="G1085" i="2" s="1"/>
  <c r="D1085" i="2" s="1"/>
  <c r="J1086" i="2"/>
  <c r="J1088" i="2"/>
  <c r="G1088" i="2" s="1"/>
  <c r="D1088" i="2" s="1"/>
  <c r="J1089" i="2"/>
  <c r="J1090" i="2"/>
  <c r="G1090" i="2" s="1"/>
  <c r="D1090" i="2" s="1"/>
  <c r="J1091" i="2"/>
  <c r="J1092" i="2"/>
  <c r="J1093" i="2"/>
  <c r="G1093" i="2" s="1"/>
  <c r="D1093" i="2" s="1"/>
  <c r="J1094" i="2"/>
  <c r="G1094" i="2" s="1"/>
  <c r="D1094" i="2" s="1"/>
  <c r="J1095" i="2"/>
  <c r="G1095" i="2" s="1"/>
  <c r="D1095" i="2" s="1"/>
  <c r="J1096" i="2"/>
  <c r="G1096" i="2" s="1"/>
  <c r="D1096" i="2" s="1"/>
  <c r="J1097" i="2"/>
  <c r="G1097" i="2" s="1"/>
  <c r="D1097" i="2" s="1"/>
  <c r="J1098" i="2"/>
  <c r="G1098" i="2" s="1"/>
  <c r="D1098" i="2" s="1"/>
  <c r="J1099" i="2"/>
  <c r="J1103" i="2"/>
  <c r="J1104" i="2"/>
  <c r="J1105" i="2"/>
  <c r="F1105" i="2" s="1"/>
  <c r="J1106" i="2"/>
  <c r="J1107" i="2"/>
  <c r="J1108" i="2"/>
  <c r="G1108" i="2" s="1"/>
  <c r="D1108" i="2" s="1"/>
  <c r="J1109" i="2"/>
  <c r="G1109" i="2" s="1"/>
  <c r="D1109" i="2" s="1"/>
  <c r="J1110" i="2"/>
  <c r="G1110" i="2" s="1"/>
  <c r="D1110" i="2" s="1"/>
  <c r="J1111" i="2"/>
  <c r="G1111" i="2" s="1"/>
  <c r="D1111" i="2" s="1"/>
  <c r="J1112" i="2"/>
  <c r="G1112" i="2" s="1"/>
  <c r="D1112" i="2" s="1"/>
  <c r="J1113" i="2"/>
  <c r="G1113" i="2" s="1"/>
  <c r="D1113" i="2" s="1"/>
  <c r="J1114" i="2"/>
  <c r="G1114" i="2" s="1"/>
  <c r="D1114" i="2" s="1"/>
  <c r="J1116" i="2"/>
  <c r="J1117" i="2"/>
  <c r="G1117" i="2" s="1"/>
  <c r="D1117" i="2" s="1"/>
  <c r="J1118" i="2"/>
  <c r="J1119" i="2"/>
  <c r="G1119" i="2" s="1"/>
  <c r="D1119" i="2" s="1"/>
  <c r="J1120" i="2"/>
  <c r="J1121" i="2"/>
  <c r="G1121" i="2" s="1"/>
  <c r="D1121" i="2" s="1"/>
  <c r="J1122" i="2"/>
  <c r="G1122" i="2" s="1"/>
  <c r="D1122" i="2" s="1"/>
  <c r="J1123" i="2"/>
  <c r="G1123" i="2" s="1"/>
  <c r="D1123" i="2" s="1"/>
  <c r="J1124" i="2"/>
  <c r="G1124" i="2" s="1"/>
  <c r="D1124" i="2" s="1"/>
  <c r="J1125" i="2"/>
  <c r="G1125" i="2" s="1"/>
  <c r="D1125" i="2" s="1"/>
  <c r="J1126" i="2"/>
  <c r="J1127" i="2"/>
  <c r="G1127" i="2" s="1"/>
  <c r="D1127" i="2" s="1"/>
  <c r="J1131" i="2"/>
  <c r="G1131" i="2" s="1"/>
  <c r="D1131" i="2" s="1"/>
  <c r="J1132" i="2"/>
  <c r="G1132" i="2" s="1"/>
  <c r="D1132" i="2" s="1"/>
  <c r="J1133" i="2"/>
  <c r="G1133" i="2" s="1"/>
  <c r="D1133" i="2" s="1"/>
  <c r="J1134" i="2"/>
  <c r="J1135" i="2"/>
  <c r="G1135" i="2" s="1"/>
  <c r="D1135" i="2" s="1"/>
  <c r="J1136" i="2"/>
  <c r="G1136" i="2" s="1"/>
  <c r="D1136" i="2" s="1"/>
  <c r="J1137" i="2"/>
  <c r="G1137" i="2" s="1"/>
  <c r="D1137" i="2" s="1"/>
  <c r="J1138" i="2"/>
  <c r="G1138" i="2" s="1"/>
  <c r="D1138" i="2" s="1"/>
  <c r="J1139" i="2"/>
  <c r="G1139" i="2" s="1"/>
  <c r="D1139" i="2" s="1"/>
  <c r="J1140" i="2"/>
  <c r="G1140" i="2" s="1"/>
  <c r="D1140" i="2" s="1"/>
  <c r="J1141" i="2"/>
  <c r="G1141" i="2" s="1"/>
  <c r="D1141" i="2" s="1"/>
  <c r="J1142" i="2"/>
  <c r="J1144" i="2"/>
  <c r="G1144" i="2" s="1"/>
  <c r="D1144" i="2" s="1"/>
  <c r="J1145" i="2"/>
  <c r="J1146" i="2"/>
  <c r="G1146" i="2" s="1"/>
  <c r="D1146" i="2" s="1"/>
  <c r="J1147" i="2"/>
  <c r="G1147" i="2" s="1"/>
  <c r="D1147" i="2" s="1"/>
  <c r="J1148" i="2"/>
  <c r="G1148" i="2" s="1"/>
  <c r="D1148" i="2" s="1"/>
  <c r="J1149" i="2"/>
  <c r="G1149" i="2" s="1"/>
  <c r="D1149" i="2" s="1"/>
  <c r="J1150" i="2"/>
  <c r="G1150" i="2" s="1"/>
  <c r="D1150" i="2" s="1"/>
  <c r="J1151" i="2"/>
  <c r="G1151" i="2" s="1"/>
  <c r="D1151" i="2" s="1"/>
  <c r="J1152" i="2"/>
  <c r="G1152" i="2" s="1"/>
  <c r="D1152" i="2" s="1"/>
  <c r="J1153" i="2"/>
  <c r="G1153" i="2" s="1"/>
  <c r="D1153" i="2" s="1"/>
  <c r="J1154" i="2"/>
  <c r="G1154" i="2" s="1"/>
  <c r="D1154" i="2" s="1"/>
  <c r="J1155" i="2"/>
  <c r="G1155" i="2" s="1"/>
  <c r="D1155" i="2" s="1"/>
  <c r="J39" i="9"/>
  <c r="D41" i="9"/>
  <c r="H36" i="9" s="1"/>
  <c r="J38" i="9"/>
  <c r="K38" i="9" s="1"/>
  <c r="J36" i="9"/>
  <c r="J62" i="5"/>
  <c r="F62" i="5" s="1"/>
  <c r="J64" i="5"/>
  <c r="G64" i="5" s="1"/>
  <c r="J63" i="5"/>
  <c r="G63" i="5" s="1"/>
  <c r="J65" i="5"/>
  <c r="G65" i="5" s="1"/>
  <c r="J66" i="5"/>
  <c r="G66" i="5" s="1"/>
  <c r="J67" i="5"/>
  <c r="G67" i="5" s="1"/>
  <c r="J68" i="5"/>
  <c r="G68" i="5" s="1"/>
  <c r="J69" i="5"/>
  <c r="J70" i="5"/>
  <c r="J71" i="5"/>
  <c r="J43" i="5"/>
  <c r="J41" i="5"/>
  <c r="G41" i="5" s="1"/>
  <c r="J40" i="5"/>
  <c r="J39" i="5"/>
  <c r="J38" i="5"/>
  <c r="J42" i="5"/>
  <c r="G42" i="5" s="1"/>
  <c r="J44" i="5"/>
  <c r="G44" i="5" s="1"/>
  <c r="J45" i="5"/>
  <c r="G45" i="5" s="1"/>
  <c r="J46" i="5"/>
  <c r="G46" i="5" s="1"/>
  <c r="J47" i="5"/>
  <c r="G47" i="5" s="1"/>
  <c r="J33" i="5"/>
  <c r="G33" i="5" s="1"/>
  <c r="J32" i="5"/>
  <c r="J31" i="5"/>
  <c r="G31" i="5" s="1"/>
  <c r="J30" i="5"/>
  <c r="G30" i="5" s="1"/>
  <c r="J28" i="5"/>
  <c r="J26" i="5"/>
  <c r="J27" i="5"/>
  <c r="G27" i="5" s="1"/>
  <c r="J29" i="5"/>
  <c r="G29" i="5" s="1"/>
  <c r="J34" i="5"/>
  <c r="G34" i="5" s="1"/>
  <c r="J35" i="5"/>
  <c r="G35" i="5" s="1"/>
  <c r="J50" i="5"/>
  <c r="J51" i="5"/>
  <c r="J52" i="5"/>
  <c r="G52" i="5" s="1"/>
  <c r="J53" i="5"/>
  <c r="J54" i="5"/>
  <c r="J55" i="5"/>
  <c r="J56" i="5"/>
  <c r="J57" i="5"/>
  <c r="F57" i="5" s="1"/>
  <c r="I175" i="1" s="1"/>
  <c r="J175" i="1" s="1"/>
  <c r="J58" i="5"/>
  <c r="J59" i="5"/>
  <c r="G59" i="5" s="1"/>
  <c r="J74" i="5"/>
  <c r="F74" i="5" s="1"/>
  <c r="J75" i="5"/>
  <c r="J76" i="5"/>
  <c r="G76" i="5" s="1"/>
  <c r="J77" i="5"/>
  <c r="G77" i="5" s="1"/>
  <c r="J78" i="5"/>
  <c r="J79" i="5"/>
  <c r="J80" i="5"/>
  <c r="G80" i="5" s="1"/>
  <c r="J81" i="5"/>
  <c r="G81" i="5" s="1"/>
  <c r="J82" i="5"/>
  <c r="G82" i="5" s="1"/>
  <c r="J83" i="5"/>
  <c r="G83" i="5" s="1"/>
  <c r="J86" i="5"/>
  <c r="F86" i="5" s="1"/>
  <c r="J87" i="5"/>
  <c r="J88" i="5"/>
  <c r="G88" i="5" s="1"/>
  <c r="J89" i="5"/>
  <c r="G89" i="5" s="1"/>
  <c r="J90" i="5"/>
  <c r="G90" i="5" s="1"/>
  <c r="J91" i="5"/>
  <c r="G91" i="5" s="1"/>
  <c r="J92" i="5"/>
  <c r="G92" i="5" s="1"/>
  <c r="J93" i="5"/>
  <c r="J94" i="5"/>
  <c r="J95" i="5"/>
  <c r="J98" i="5"/>
  <c r="J99" i="5"/>
  <c r="G99" i="5" s="1"/>
  <c r="J100" i="5"/>
  <c r="J101" i="5"/>
  <c r="F101" i="5" s="1"/>
  <c r="J102" i="5"/>
  <c r="G102" i="5" s="1"/>
  <c r="J103" i="5"/>
  <c r="G103" i="5" s="1"/>
  <c r="J104" i="5"/>
  <c r="G104" i="5" s="1"/>
  <c r="J105" i="5"/>
  <c r="J106" i="5"/>
  <c r="G106" i="5" s="1"/>
  <c r="J107" i="5"/>
  <c r="J110" i="5"/>
  <c r="G110" i="5" s="1"/>
  <c r="J111" i="5"/>
  <c r="J112" i="5"/>
  <c r="G112" i="5" s="1"/>
  <c r="J113" i="5"/>
  <c r="G113" i="5" s="1"/>
  <c r="J114" i="5"/>
  <c r="G114" i="5" s="1"/>
  <c r="J115" i="5"/>
  <c r="G115" i="5" s="1"/>
  <c r="J116" i="5"/>
  <c r="G116" i="5" s="1"/>
  <c r="J117" i="5"/>
  <c r="G117" i="5" s="1"/>
  <c r="J118" i="5"/>
  <c r="G118" i="5" s="1"/>
  <c r="J119" i="5"/>
  <c r="J122" i="5"/>
  <c r="J123" i="5"/>
  <c r="J124" i="5"/>
  <c r="G124" i="5" s="1"/>
  <c r="J125" i="5"/>
  <c r="J126" i="5"/>
  <c r="G126" i="5" s="1"/>
  <c r="J127" i="5"/>
  <c r="G127" i="5" s="1"/>
  <c r="J128" i="5"/>
  <c r="G128" i="5" s="1"/>
  <c r="J129" i="5"/>
  <c r="G129" i="5" s="1"/>
  <c r="J130" i="5"/>
  <c r="G130" i="5" s="1"/>
  <c r="J131" i="5"/>
  <c r="G131" i="5" s="1"/>
  <c r="J134" i="5"/>
  <c r="F134" i="5" s="1"/>
  <c r="J135" i="5"/>
  <c r="J136" i="5"/>
  <c r="J137" i="5"/>
  <c r="J138" i="5"/>
  <c r="G138" i="5" s="1"/>
  <c r="J139" i="5"/>
  <c r="G139" i="5" s="1"/>
  <c r="J140" i="5"/>
  <c r="J141" i="5"/>
  <c r="G141" i="5" s="1"/>
  <c r="J142" i="5"/>
  <c r="G142" i="5" s="1"/>
  <c r="J143" i="5"/>
  <c r="G143" i="5" s="1"/>
  <c r="J146" i="5"/>
  <c r="F146" i="5" s="1"/>
  <c r="J147" i="5"/>
  <c r="G147" i="5" s="1"/>
  <c r="J148" i="5"/>
  <c r="G148" i="5" s="1"/>
  <c r="J149" i="5"/>
  <c r="G149" i="5" s="1"/>
  <c r="J150" i="5"/>
  <c r="J151" i="5"/>
  <c r="G151" i="5" s="1"/>
  <c r="J152" i="5"/>
  <c r="G152" i="5" s="1"/>
  <c r="J153" i="5"/>
  <c r="J154" i="5"/>
  <c r="J155" i="5"/>
  <c r="G155" i="5" s="1"/>
  <c r="J48" i="9"/>
  <c r="J40" i="9"/>
  <c r="C43" i="9"/>
  <c r="C35" i="9"/>
  <c r="D18" i="9"/>
  <c r="D15" i="3"/>
  <c r="D14" i="3"/>
  <c r="D13" i="3"/>
  <c r="D12" i="3"/>
  <c r="D11" i="3"/>
  <c r="C10" i="4"/>
  <c r="W9" i="10"/>
  <c r="X9" i="10"/>
  <c r="X8" i="10"/>
  <c r="X7" i="10"/>
  <c r="X6" i="10"/>
  <c r="X5" i="10"/>
  <c r="X4" i="10"/>
  <c r="X3" i="10"/>
  <c r="X2" i="10"/>
  <c r="T9" i="10"/>
  <c r="S9" i="10"/>
  <c r="T8" i="10"/>
  <c r="T7" i="10"/>
  <c r="T6" i="10"/>
  <c r="T5" i="10"/>
  <c r="T4" i="10"/>
  <c r="T3" i="10"/>
  <c r="T2" i="10"/>
  <c r="W8" i="10"/>
  <c r="W7" i="10"/>
  <c r="W6" i="10"/>
  <c r="W5" i="10"/>
  <c r="W4" i="10"/>
  <c r="W3" i="10"/>
  <c r="W2" i="10"/>
  <c r="S2" i="10" s="1"/>
  <c r="S8" i="10"/>
  <c r="S7" i="10"/>
  <c r="S6" i="10"/>
  <c r="S5" i="10"/>
  <c r="S4" i="10"/>
  <c r="S3" i="10"/>
  <c r="V2" i="10"/>
  <c r="U2" i="10"/>
  <c r="V3" i="10"/>
  <c r="U3" i="10"/>
  <c r="V4" i="10"/>
  <c r="U4" i="10"/>
  <c r="V5" i="10"/>
  <c r="U5" i="10"/>
  <c r="V6" i="10"/>
  <c r="U6" i="10"/>
  <c r="V7" i="10"/>
  <c r="U7" i="10"/>
  <c r="V9" i="10"/>
  <c r="U9" i="10"/>
  <c r="V8" i="10"/>
  <c r="U8" i="10"/>
  <c r="C75" i="9"/>
  <c r="A2" i="10"/>
  <c r="A4" i="10"/>
  <c r="A3" i="10"/>
  <c r="F25" i="1"/>
  <c r="D19" i="16" s="1"/>
  <c r="L201" i="2"/>
  <c r="L202" i="2"/>
  <c r="L203" i="2"/>
  <c r="L204" i="2"/>
  <c r="L205" i="2"/>
  <c r="L200" i="2"/>
  <c r="L194" i="2"/>
  <c r="L195" i="2"/>
  <c r="K195" i="2" s="1"/>
  <c r="L196" i="2"/>
  <c r="K196" i="2" s="1"/>
  <c r="F196" i="2" s="1"/>
  <c r="L197" i="2"/>
  <c r="L198" i="2"/>
  <c r="L193" i="2"/>
  <c r="K193" i="2" s="1"/>
  <c r="F193" i="2" s="1"/>
  <c r="L187" i="2"/>
  <c r="L188" i="2"/>
  <c r="L189" i="2"/>
  <c r="K189" i="2" s="1"/>
  <c r="F189" i="2" s="1"/>
  <c r="L190" i="2"/>
  <c r="L191" i="2"/>
  <c r="L186" i="2"/>
  <c r="K186" i="2" s="1"/>
  <c r="L180" i="2"/>
  <c r="L181" i="2"/>
  <c r="L182" i="2"/>
  <c r="K182" i="2" s="1"/>
  <c r="L183" i="2"/>
  <c r="L184" i="2"/>
  <c r="L179" i="2"/>
  <c r="K179" i="2" s="1"/>
  <c r="L173" i="2"/>
  <c r="L174" i="2"/>
  <c r="K174" i="2" s="1"/>
  <c r="L175" i="2"/>
  <c r="K175" i="2" s="1"/>
  <c r="L176" i="2"/>
  <c r="L177" i="2"/>
  <c r="L172" i="2"/>
  <c r="K172" i="2" s="1"/>
  <c r="L166" i="2"/>
  <c r="K166" i="2" s="1"/>
  <c r="L167" i="2"/>
  <c r="K167" i="2" s="1"/>
  <c r="L168" i="2"/>
  <c r="K168" i="2" s="1"/>
  <c r="L169" i="2"/>
  <c r="L170" i="2"/>
  <c r="L165" i="2"/>
  <c r="K165" i="2" s="1"/>
  <c r="L159" i="2"/>
  <c r="K159" i="2" s="1"/>
  <c r="G159" i="2" s="1"/>
  <c r="L160" i="2"/>
  <c r="K160" i="2" s="1"/>
  <c r="L161" i="2"/>
  <c r="K161" i="2" s="1"/>
  <c r="L162" i="2"/>
  <c r="L163" i="2"/>
  <c r="L158" i="2"/>
  <c r="K158" i="2" s="1"/>
  <c r="L152" i="2"/>
  <c r="K152" i="2" s="1"/>
  <c r="L153" i="2"/>
  <c r="L154" i="2"/>
  <c r="K154" i="2" s="1"/>
  <c r="L155" i="2"/>
  <c r="L156" i="2"/>
  <c r="L151" i="2"/>
  <c r="L145" i="2"/>
  <c r="K145" i="2" s="1"/>
  <c r="L146" i="2"/>
  <c r="K146" i="2" s="1"/>
  <c r="L147" i="2"/>
  <c r="K147" i="2" s="1"/>
  <c r="L148" i="2"/>
  <c r="L149" i="2"/>
  <c r="L144" i="2"/>
  <c r="K144" i="2" s="1"/>
  <c r="L138" i="2"/>
  <c r="K138" i="2" s="1"/>
  <c r="L139" i="2"/>
  <c r="L140" i="2"/>
  <c r="L141" i="2"/>
  <c r="L142" i="2"/>
  <c r="L137" i="2"/>
  <c r="K137" i="2" s="1"/>
  <c r="G137" i="2" s="1"/>
  <c r="L131" i="2"/>
  <c r="L132" i="2"/>
  <c r="K132" i="2" s="1"/>
  <c r="L133" i="2"/>
  <c r="K133" i="2" s="1"/>
  <c r="G133" i="2" s="1"/>
  <c r="L134" i="2"/>
  <c r="L135" i="2"/>
  <c r="L130" i="2"/>
  <c r="K130" i="2" s="1"/>
  <c r="L124" i="2"/>
  <c r="K124" i="2" s="1"/>
  <c r="L125" i="2"/>
  <c r="L126" i="2"/>
  <c r="K126" i="2" s="1"/>
  <c r="G126" i="2" s="1"/>
  <c r="L127" i="2"/>
  <c r="L128" i="2"/>
  <c r="L123" i="2"/>
  <c r="L117" i="2"/>
  <c r="K117" i="2" s="1"/>
  <c r="G117" i="2" s="1"/>
  <c r="L118" i="2"/>
  <c r="K118" i="2" s="1"/>
  <c r="G118" i="2" s="1"/>
  <c r="L119" i="2"/>
  <c r="K119" i="2" s="1"/>
  <c r="L120" i="2"/>
  <c r="L121" i="2"/>
  <c r="L116" i="2"/>
  <c r="K116" i="2" s="1"/>
  <c r="L110" i="2"/>
  <c r="L111" i="2"/>
  <c r="K111" i="2" s="1"/>
  <c r="L112" i="2"/>
  <c r="L113" i="2"/>
  <c r="L114" i="2"/>
  <c r="L109" i="2"/>
  <c r="K109" i="2" s="1"/>
  <c r="G109" i="2" s="1"/>
  <c r="L103" i="2"/>
  <c r="L104" i="2"/>
  <c r="K104" i="2" s="1"/>
  <c r="L105" i="2"/>
  <c r="K105" i="2" s="1"/>
  <c r="L106" i="2"/>
  <c r="L107" i="2"/>
  <c r="L102" i="2"/>
  <c r="K102" i="2" s="1"/>
  <c r="L96" i="2"/>
  <c r="L97" i="2"/>
  <c r="L98" i="2"/>
  <c r="K98" i="2" s="1"/>
  <c r="L99" i="2"/>
  <c r="L100" i="2"/>
  <c r="L95" i="2"/>
  <c r="K95" i="2" s="1"/>
  <c r="L90" i="2"/>
  <c r="K90" i="2" s="1"/>
  <c r="G90" i="2" s="1"/>
  <c r="D90" i="2" s="1"/>
  <c r="L91" i="2"/>
  <c r="K91" i="2" s="1"/>
  <c r="F91" i="2" s="1"/>
  <c r="L92" i="2"/>
  <c r="L93" i="2"/>
  <c r="L83" i="2"/>
  <c r="K83" i="2" s="1"/>
  <c r="L84" i="2"/>
  <c r="L85" i="2"/>
  <c r="L86" i="2"/>
  <c r="L75" i="2"/>
  <c r="K75" i="2" s="1"/>
  <c r="L76" i="2"/>
  <c r="K76" i="2" s="1"/>
  <c r="E76" i="2" s="1"/>
  <c r="L77" i="2"/>
  <c r="K77" i="2" s="1"/>
  <c r="F77" i="2" s="1"/>
  <c r="L78" i="2"/>
  <c r="L79" i="2"/>
  <c r="L74" i="2"/>
  <c r="K74" i="2" s="1"/>
  <c r="E74" i="2" s="1"/>
  <c r="L68" i="2"/>
  <c r="K68" i="2" s="1"/>
  <c r="F68" i="2" s="1"/>
  <c r="L69" i="2"/>
  <c r="L70" i="2"/>
  <c r="L71" i="2"/>
  <c r="L72" i="2"/>
  <c r="L67" i="2"/>
  <c r="L61" i="2"/>
  <c r="L62" i="2"/>
  <c r="K62" i="2" s="1"/>
  <c r="G62" i="2" s="1"/>
  <c r="D62" i="2" s="1"/>
  <c r="L63" i="2"/>
  <c r="L64" i="2"/>
  <c r="L65" i="2"/>
  <c r="L54" i="2"/>
  <c r="K54" i="2" s="1"/>
  <c r="G54" i="2" s="1"/>
  <c r="D54" i="2" s="1"/>
  <c r="L55" i="2"/>
  <c r="K55" i="2" s="1"/>
  <c r="F55" i="2" s="1"/>
  <c r="L56" i="2"/>
  <c r="L57" i="2"/>
  <c r="L58" i="2"/>
  <c r="L60" i="2"/>
  <c r="L47" i="2"/>
  <c r="L48" i="2"/>
  <c r="K48" i="2" s="1"/>
  <c r="F48" i="2" s="1"/>
  <c r="L49" i="2"/>
  <c r="L50" i="2"/>
  <c r="L51" i="2"/>
  <c r="L53" i="2"/>
  <c r="K53" i="2" s="1"/>
  <c r="L46" i="2"/>
  <c r="K46" i="2" s="1"/>
  <c r="G46" i="2" s="1"/>
  <c r="D46" i="2" s="1"/>
  <c r="L42" i="2"/>
  <c r="L43" i="2"/>
  <c r="L44" i="2"/>
  <c r="K200" i="2"/>
  <c r="G200" i="2" s="1"/>
  <c r="D200" i="2" s="1"/>
  <c r="K151" i="2"/>
  <c r="K123" i="2"/>
  <c r="G123" i="2" s="1"/>
  <c r="K67" i="2"/>
  <c r="E67" i="2" s="1"/>
  <c r="K60" i="2"/>
  <c r="F60" i="2" s="1"/>
  <c r="C18" i="5"/>
  <c r="C18" i="4"/>
  <c r="N528" i="2"/>
  <c r="N517" i="2"/>
  <c r="N506" i="2"/>
  <c r="N495" i="2"/>
  <c r="N484" i="2"/>
  <c r="N473" i="2"/>
  <c r="N462" i="2"/>
  <c r="N451" i="2"/>
  <c r="N440" i="2"/>
  <c r="N429" i="2"/>
  <c r="N418" i="2"/>
  <c r="N407" i="2"/>
  <c r="N396" i="2"/>
  <c r="N385" i="2"/>
  <c r="N374" i="2"/>
  <c r="N363" i="2"/>
  <c r="N352" i="2"/>
  <c r="N341" i="2"/>
  <c r="N330" i="2"/>
  <c r="N319" i="2"/>
  <c r="N308" i="2"/>
  <c r="N297" i="2"/>
  <c r="N286" i="2"/>
  <c r="N275" i="2"/>
  <c r="C18" i="2"/>
  <c r="J216" i="11"/>
  <c r="J214" i="11"/>
  <c r="J213" i="11"/>
  <c r="J212" i="11"/>
  <c r="J210" i="11"/>
  <c r="J209" i="11"/>
  <c r="J208" i="11"/>
  <c r="J206" i="11"/>
  <c r="J205" i="11"/>
  <c r="J204" i="11"/>
  <c r="J202" i="11"/>
  <c r="J201" i="11"/>
  <c r="J200" i="11"/>
  <c r="J192" i="11"/>
  <c r="J191" i="11"/>
  <c r="J189" i="11"/>
  <c r="J188" i="11"/>
  <c r="J185" i="11"/>
  <c r="J184" i="11"/>
  <c r="J182" i="11"/>
  <c r="J180" i="11"/>
  <c r="J179" i="11"/>
  <c r="J178" i="11"/>
  <c r="J176" i="11"/>
  <c r="J175" i="11"/>
  <c r="J174" i="11"/>
  <c r="J171" i="11"/>
  <c r="J170" i="11"/>
  <c r="J168" i="11"/>
  <c r="J167" i="11"/>
  <c r="J164" i="11"/>
  <c r="J163" i="11"/>
  <c r="J159" i="11"/>
  <c r="J157" i="11"/>
  <c r="J156" i="11"/>
  <c r="J155" i="11"/>
  <c r="J152" i="11"/>
  <c r="J151" i="11"/>
  <c r="J150" i="11"/>
  <c r="J148" i="11"/>
  <c r="J147" i="11"/>
  <c r="J146" i="11"/>
  <c r="J139" i="11"/>
  <c r="J137" i="11"/>
  <c r="J135" i="11"/>
  <c r="J132" i="11"/>
  <c r="J131" i="11"/>
  <c r="J130" i="11"/>
  <c r="J128" i="11"/>
  <c r="J127" i="11"/>
  <c r="J125" i="11"/>
  <c r="J123" i="11"/>
  <c r="J119" i="11"/>
  <c r="J118" i="11"/>
  <c r="J116" i="11"/>
  <c r="J115" i="11"/>
  <c r="J112" i="11"/>
  <c r="J111" i="11"/>
  <c r="J110" i="11"/>
  <c r="J108" i="11"/>
  <c r="J107" i="11"/>
  <c r="J102" i="11"/>
  <c r="J101" i="11"/>
  <c r="J100" i="11"/>
  <c r="J99" i="11"/>
  <c r="J98" i="11"/>
  <c r="J97" i="11"/>
  <c r="J96" i="11"/>
  <c r="J94" i="11"/>
  <c r="J88" i="11"/>
  <c r="J86" i="11"/>
  <c r="J85" i="11"/>
  <c r="J83" i="11"/>
  <c r="J82" i="11"/>
  <c r="J81" i="11"/>
  <c r="J80" i="11"/>
  <c r="J79" i="11"/>
  <c r="J78" i="11"/>
  <c r="J77" i="11"/>
  <c r="J76" i="11"/>
  <c r="J74" i="11"/>
  <c r="J72" i="11"/>
  <c r="J71" i="11"/>
  <c r="J69" i="11"/>
  <c r="J67" i="11"/>
  <c r="J65" i="11"/>
  <c r="J64" i="11"/>
  <c r="J62" i="11"/>
  <c r="J61" i="11"/>
  <c r="J60" i="11"/>
  <c r="J59" i="11"/>
  <c r="J57" i="11"/>
  <c r="J56" i="11"/>
  <c r="J55" i="11"/>
  <c r="J54" i="11"/>
  <c r="J53" i="11"/>
  <c r="J51" i="11"/>
  <c r="J49" i="11"/>
  <c r="J41" i="11"/>
  <c r="J40" i="11"/>
  <c r="J39" i="11"/>
  <c r="J38" i="11"/>
  <c r="J37" i="11"/>
  <c r="J36" i="11"/>
  <c r="J35" i="11"/>
  <c r="J34" i="11"/>
  <c r="J33" i="11"/>
  <c r="G150" i="5"/>
  <c r="G154" i="5"/>
  <c r="F155" i="5"/>
  <c r="E155" i="5"/>
  <c r="F154" i="5"/>
  <c r="E154" i="5"/>
  <c r="G153" i="5"/>
  <c r="F153" i="5"/>
  <c r="E153" i="5"/>
  <c r="F152" i="5"/>
  <c r="E152" i="5"/>
  <c r="F151" i="5"/>
  <c r="E151" i="5"/>
  <c r="F150" i="5"/>
  <c r="E150" i="5"/>
  <c r="F149" i="5"/>
  <c r="E149" i="5"/>
  <c r="F148" i="5"/>
  <c r="E148" i="5"/>
  <c r="E147" i="5"/>
  <c r="E146" i="5"/>
  <c r="G136" i="5"/>
  <c r="G137" i="5"/>
  <c r="G140" i="5"/>
  <c r="F143" i="5"/>
  <c r="E143" i="5"/>
  <c r="F142" i="5"/>
  <c r="E142" i="5"/>
  <c r="F141" i="5"/>
  <c r="E141" i="5"/>
  <c r="F140" i="5"/>
  <c r="E140" i="5"/>
  <c r="F139" i="5"/>
  <c r="E139" i="5"/>
  <c r="F138" i="5"/>
  <c r="E138" i="5"/>
  <c r="F137" i="5"/>
  <c r="E137" i="5"/>
  <c r="F136" i="5"/>
  <c r="I217" i="1" s="1"/>
  <c r="J217" i="1" s="1"/>
  <c r="E136" i="5"/>
  <c r="E135" i="5"/>
  <c r="E134" i="5"/>
  <c r="G123" i="5"/>
  <c r="G125" i="5"/>
  <c r="E123" i="5"/>
  <c r="F123" i="5"/>
  <c r="E124" i="5"/>
  <c r="F124" i="5"/>
  <c r="I211" i="1" s="1"/>
  <c r="J211" i="1" s="1"/>
  <c r="E125" i="5"/>
  <c r="F125" i="5"/>
  <c r="E126" i="5"/>
  <c r="F126" i="5"/>
  <c r="E127" i="5"/>
  <c r="F127" i="5"/>
  <c r="E128" i="5"/>
  <c r="F128" i="5"/>
  <c r="E129" i="5"/>
  <c r="F129" i="5"/>
  <c r="E130" i="5"/>
  <c r="F130" i="5"/>
  <c r="E131" i="5"/>
  <c r="F131" i="5"/>
  <c r="E122" i="5"/>
  <c r="G122" i="5"/>
  <c r="F119" i="5"/>
  <c r="E119" i="5"/>
  <c r="F118" i="5"/>
  <c r="E118" i="5"/>
  <c r="E117" i="5"/>
  <c r="F116" i="5"/>
  <c r="E116" i="5"/>
  <c r="F115" i="5"/>
  <c r="E115" i="5"/>
  <c r="F114" i="5"/>
  <c r="E114" i="5"/>
  <c r="F113" i="5"/>
  <c r="E113" i="5"/>
  <c r="F112" i="5"/>
  <c r="I208" i="1" s="1"/>
  <c r="J208" i="1" s="1"/>
  <c r="E112" i="5"/>
  <c r="E111" i="5"/>
  <c r="E110" i="5"/>
  <c r="G111" i="5"/>
  <c r="F117" i="5"/>
  <c r="I205" i="1" s="1"/>
  <c r="J205" i="1" s="1"/>
  <c r="G119" i="5"/>
  <c r="G95" i="5"/>
  <c r="F95" i="5"/>
  <c r="E95" i="5"/>
  <c r="G94" i="5"/>
  <c r="F94" i="5"/>
  <c r="E94" i="5"/>
  <c r="G93" i="5"/>
  <c r="F93" i="5"/>
  <c r="E93" i="5"/>
  <c r="F92" i="5"/>
  <c r="E92" i="5"/>
  <c r="E91" i="5"/>
  <c r="F90" i="5"/>
  <c r="E90" i="5"/>
  <c r="F89" i="5"/>
  <c r="E89" i="5"/>
  <c r="E88" i="5"/>
  <c r="E87" i="5"/>
  <c r="E86" i="5"/>
  <c r="G105" i="5"/>
  <c r="G107" i="5"/>
  <c r="F107" i="5"/>
  <c r="I195" i="1" s="1"/>
  <c r="J195" i="1" s="1"/>
  <c r="E107" i="5"/>
  <c r="F106" i="5"/>
  <c r="E106" i="5"/>
  <c r="F105" i="5"/>
  <c r="E105" i="5"/>
  <c r="F104" i="5"/>
  <c r="E104" i="5"/>
  <c r="F103" i="5"/>
  <c r="E103" i="5"/>
  <c r="F102" i="5"/>
  <c r="E102" i="5"/>
  <c r="E101" i="5"/>
  <c r="G100" i="5"/>
  <c r="F100" i="5"/>
  <c r="E100" i="5"/>
  <c r="F99" i="5"/>
  <c r="E99" i="5"/>
  <c r="E98" i="5"/>
  <c r="G98" i="5"/>
  <c r="G79" i="5"/>
  <c r="E75" i="5"/>
  <c r="F75" i="5"/>
  <c r="E76" i="5"/>
  <c r="F76" i="5"/>
  <c r="E77" i="5"/>
  <c r="F77" i="5"/>
  <c r="I185" i="1" s="1"/>
  <c r="J185" i="1" s="1"/>
  <c r="E78" i="5"/>
  <c r="F78" i="5"/>
  <c r="G78" i="5"/>
  <c r="E79" i="5"/>
  <c r="F79" i="5"/>
  <c r="E80" i="5"/>
  <c r="F80" i="5"/>
  <c r="I184" i="1" s="1"/>
  <c r="J184" i="1" s="1"/>
  <c r="E81" i="5"/>
  <c r="F81" i="5"/>
  <c r="E82" i="5"/>
  <c r="F82" i="5"/>
  <c r="E83" i="5"/>
  <c r="E74" i="5"/>
  <c r="G69" i="5"/>
  <c r="G70" i="5"/>
  <c r="G71" i="5"/>
  <c r="F71" i="5"/>
  <c r="E71" i="5"/>
  <c r="F70" i="5"/>
  <c r="E70" i="5"/>
  <c r="F69" i="5"/>
  <c r="E69" i="5"/>
  <c r="F68" i="5"/>
  <c r="E68" i="5"/>
  <c r="E67" i="5"/>
  <c r="E66" i="5"/>
  <c r="F65" i="5"/>
  <c r="E65" i="5"/>
  <c r="F64" i="5"/>
  <c r="E64" i="5"/>
  <c r="F63" i="5"/>
  <c r="E63" i="5"/>
  <c r="E62" i="5"/>
  <c r="G51" i="5"/>
  <c r="G54" i="5"/>
  <c r="G55" i="5"/>
  <c r="G56" i="5"/>
  <c r="E51" i="5"/>
  <c r="E52" i="5"/>
  <c r="F52" i="5"/>
  <c r="E53" i="5"/>
  <c r="F53" i="5"/>
  <c r="G53" i="5"/>
  <c r="E54" i="5"/>
  <c r="F54" i="5"/>
  <c r="E55" i="5"/>
  <c r="E56" i="5"/>
  <c r="F56" i="5"/>
  <c r="E57" i="5"/>
  <c r="E58" i="5"/>
  <c r="F58" i="5"/>
  <c r="G58" i="5"/>
  <c r="E59" i="5"/>
  <c r="F59" i="5"/>
  <c r="E50" i="5"/>
  <c r="G50" i="5"/>
  <c r="E39" i="5"/>
  <c r="F39" i="5"/>
  <c r="E40" i="5"/>
  <c r="F40" i="5"/>
  <c r="E41" i="5"/>
  <c r="F41" i="5"/>
  <c r="E42" i="5"/>
  <c r="F42" i="5"/>
  <c r="E43" i="5"/>
  <c r="F43" i="5"/>
  <c r="E44" i="5"/>
  <c r="E45" i="5"/>
  <c r="F45" i="5"/>
  <c r="E46" i="5"/>
  <c r="F46" i="5"/>
  <c r="E47" i="5"/>
  <c r="F47" i="5"/>
  <c r="E38" i="5"/>
  <c r="G40" i="5"/>
  <c r="G43" i="5"/>
  <c r="F44" i="5"/>
  <c r="G38" i="5"/>
  <c r="G28" i="5"/>
  <c r="G32" i="5"/>
  <c r="E27" i="5"/>
  <c r="F27" i="5"/>
  <c r="E28" i="5"/>
  <c r="F28" i="5"/>
  <c r="E29" i="5"/>
  <c r="F29" i="5"/>
  <c r="E30" i="5"/>
  <c r="F30" i="5"/>
  <c r="E31" i="5"/>
  <c r="F31" i="5"/>
  <c r="E32" i="5"/>
  <c r="F32" i="5"/>
  <c r="E33" i="5"/>
  <c r="F33" i="5"/>
  <c r="E34" i="5"/>
  <c r="F34" i="5"/>
  <c r="E35" i="5"/>
  <c r="F35" i="5"/>
  <c r="E26" i="5"/>
  <c r="E75" i="4"/>
  <c r="E76" i="4"/>
  <c r="F76" i="4"/>
  <c r="E77" i="4"/>
  <c r="F77" i="4"/>
  <c r="E78" i="4"/>
  <c r="F78" i="4"/>
  <c r="E79" i="4"/>
  <c r="E80" i="4"/>
  <c r="F80" i="4"/>
  <c r="E81" i="4"/>
  <c r="F81" i="4"/>
  <c r="E82" i="4"/>
  <c r="F82" i="4"/>
  <c r="E83" i="4"/>
  <c r="F83" i="4"/>
  <c r="E74" i="4"/>
  <c r="G78" i="4"/>
  <c r="G79" i="4"/>
  <c r="G80" i="4"/>
  <c r="G81" i="4"/>
  <c r="G83" i="4"/>
  <c r="E63" i="4"/>
  <c r="E64" i="4"/>
  <c r="F64" i="4"/>
  <c r="I157" i="1" s="1"/>
  <c r="J157" i="1" s="1"/>
  <c r="E65" i="4"/>
  <c r="F65" i="4"/>
  <c r="E66" i="4"/>
  <c r="F66" i="4"/>
  <c r="E67" i="4"/>
  <c r="F67" i="4"/>
  <c r="E68" i="4"/>
  <c r="E69" i="4"/>
  <c r="F69" i="4"/>
  <c r="E70" i="4"/>
  <c r="F70" i="4"/>
  <c r="E71" i="4"/>
  <c r="F71" i="4"/>
  <c r="E62" i="4"/>
  <c r="G65" i="4"/>
  <c r="G66" i="4"/>
  <c r="G67" i="4"/>
  <c r="G68" i="4"/>
  <c r="G69" i="4"/>
  <c r="G70" i="4"/>
  <c r="G71" i="4"/>
  <c r="F62" i="4"/>
  <c r="I156" i="1" s="1"/>
  <c r="J156" i="1" s="1"/>
  <c r="E51" i="4"/>
  <c r="E52" i="4"/>
  <c r="F52" i="4"/>
  <c r="I148" i="1" s="1"/>
  <c r="J148" i="1" s="1"/>
  <c r="E53" i="4"/>
  <c r="E54" i="4"/>
  <c r="E55" i="4"/>
  <c r="E56" i="4"/>
  <c r="F56" i="4"/>
  <c r="E57" i="4"/>
  <c r="F57" i="4"/>
  <c r="I152" i="1" s="1"/>
  <c r="J152" i="1" s="1"/>
  <c r="E58" i="4"/>
  <c r="F58" i="4"/>
  <c r="E59" i="4"/>
  <c r="F59" i="4"/>
  <c r="E50" i="4"/>
  <c r="F51" i="4"/>
  <c r="I147" i="1" s="1"/>
  <c r="J147" i="1" s="1"/>
  <c r="G57" i="4"/>
  <c r="G59" i="4"/>
  <c r="E39" i="4"/>
  <c r="F39" i="4"/>
  <c r="E45" i="4"/>
  <c r="F45" i="4"/>
  <c r="E46" i="4"/>
  <c r="F46" i="4"/>
  <c r="E47" i="4"/>
  <c r="F47" i="4"/>
  <c r="E38" i="4"/>
  <c r="G39" i="4"/>
  <c r="E27" i="4"/>
  <c r="F27" i="4"/>
  <c r="E28" i="4"/>
  <c r="E29" i="4"/>
  <c r="F29" i="4"/>
  <c r="E30" i="4"/>
  <c r="F30" i="4"/>
  <c r="E31" i="4"/>
  <c r="F31" i="4"/>
  <c r="E32" i="4"/>
  <c r="F32" i="4"/>
  <c r="E33" i="4"/>
  <c r="F33" i="4"/>
  <c r="E34" i="4"/>
  <c r="F34" i="4"/>
  <c r="E35" i="4"/>
  <c r="F35" i="4"/>
  <c r="E26" i="4"/>
  <c r="E33" i="2"/>
  <c r="F32" i="2"/>
  <c r="E32" i="2"/>
  <c r="E28" i="2"/>
  <c r="E29" i="2"/>
  <c r="F29" i="2"/>
  <c r="E27" i="2"/>
  <c r="G27" i="4"/>
  <c r="G29" i="4"/>
  <c r="G35" i="4"/>
  <c r="F66" i="5"/>
  <c r="F55" i="5"/>
  <c r="F79" i="4"/>
  <c r="F68" i="4"/>
  <c r="F26" i="4"/>
  <c r="F147" i="5"/>
  <c r="F122" i="5"/>
  <c r="F110" i="5"/>
  <c r="F88" i="5"/>
  <c r="F91" i="5"/>
  <c r="F98" i="5"/>
  <c r="F83" i="5"/>
  <c r="F67" i="5"/>
  <c r="F51" i="5"/>
  <c r="F50" i="5"/>
  <c r="I178" i="1" s="1"/>
  <c r="J178" i="1" s="1"/>
  <c r="F38" i="5"/>
  <c r="I168" i="1" s="1"/>
  <c r="J168" i="1" s="1"/>
  <c r="F75" i="4"/>
  <c r="F74" i="4"/>
  <c r="F50" i="4"/>
  <c r="F28" i="4"/>
  <c r="H1161" i="2"/>
  <c r="F1155" i="2"/>
  <c r="E1155" i="2"/>
  <c r="F1154" i="2"/>
  <c r="E1154" i="2"/>
  <c r="F1153" i="2"/>
  <c r="E1153" i="2"/>
  <c r="F1152" i="2"/>
  <c r="E1152" i="2"/>
  <c r="F1151" i="2"/>
  <c r="E1151" i="2"/>
  <c r="F1150" i="2"/>
  <c r="E1150" i="2"/>
  <c r="F1149" i="2"/>
  <c r="E1149" i="2"/>
  <c r="F1148" i="2"/>
  <c r="E1148" i="2"/>
  <c r="F1147" i="2"/>
  <c r="E1147" i="2"/>
  <c r="F1146" i="2"/>
  <c r="E1146" i="2"/>
  <c r="G1145" i="2"/>
  <c r="D1145" i="2" s="1"/>
  <c r="F1145" i="2"/>
  <c r="I100" i="1" s="1"/>
  <c r="J100" i="1" s="1"/>
  <c r="E1145" i="2"/>
  <c r="E1144" i="2"/>
  <c r="F1142" i="2"/>
  <c r="E1142" i="2"/>
  <c r="E1141" i="2"/>
  <c r="F1140" i="2"/>
  <c r="E1140" i="2"/>
  <c r="F1139" i="2"/>
  <c r="E1139" i="2"/>
  <c r="F1138" i="2"/>
  <c r="E1138" i="2"/>
  <c r="E1137" i="2"/>
  <c r="E1136" i="2"/>
  <c r="E1135" i="2"/>
  <c r="E1134" i="2"/>
  <c r="E1133" i="2"/>
  <c r="E1132" i="2"/>
  <c r="E1131" i="2"/>
  <c r="G1134" i="2"/>
  <c r="D1134" i="2" s="1"/>
  <c r="G1142" i="2"/>
  <c r="D1142" i="2" s="1"/>
  <c r="E1127" i="2"/>
  <c r="F1126" i="2"/>
  <c r="E1126" i="2"/>
  <c r="F1125" i="2"/>
  <c r="E1125" i="2"/>
  <c r="F1124" i="2"/>
  <c r="E1124" i="2"/>
  <c r="F1123" i="2"/>
  <c r="E1123" i="2"/>
  <c r="F1122" i="2"/>
  <c r="E1122" i="2"/>
  <c r="F1121" i="2"/>
  <c r="E1121" i="2"/>
  <c r="F1120" i="2"/>
  <c r="E1120" i="2"/>
  <c r="F1119" i="2"/>
  <c r="E1119" i="2"/>
  <c r="F1118" i="2"/>
  <c r="E1118" i="2"/>
  <c r="F1117" i="2"/>
  <c r="E1117" i="2"/>
  <c r="F1116" i="2"/>
  <c r="E1116" i="2"/>
  <c r="E1104" i="2"/>
  <c r="E1105" i="2"/>
  <c r="E1106" i="2"/>
  <c r="F1106" i="2"/>
  <c r="E1107" i="2"/>
  <c r="F1107" i="2"/>
  <c r="E1108" i="2"/>
  <c r="F1108" i="2"/>
  <c r="E1109" i="2"/>
  <c r="F1109" i="2"/>
  <c r="E1110" i="2"/>
  <c r="F1110" i="2"/>
  <c r="E1111" i="2"/>
  <c r="F1111" i="2"/>
  <c r="E1112" i="2"/>
  <c r="F1112" i="2"/>
  <c r="E1113" i="2"/>
  <c r="F1113" i="2"/>
  <c r="E1114" i="2"/>
  <c r="F1114" i="2"/>
  <c r="E1103" i="2"/>
  <c r="G1099" i="2"/>
  <c r="D1099" i="2" s="1"/>
  <c r="E1099" i="2"/>
  <c r="E1098" i="2"/>
  <c r="F1097" i="2"/>
  <c r="E1097" i="2"/>
  <c r="F1096" i="2"/>
  <c r="E1096" i="2"/>
  <c r="F1095" i="2"/>
  <c r="E1095" i="2"/>
  <c r="F1094" i="2"/>
  <c r="E1094" i="2"/>
  <c r="F1093" i="2"/>
  <c r="E1093" i="2"/>
  <c r="G1092" i="2"/>
  <c r="D1092" i="2" s="1"/>
  <c r="F1092" i="2"/>
  <c r="E1092" i="2"/>
  <c r="G1091" i="2"/>
  <c r="D1091" i="2" s="1"/>
  <c r="F1091" i="2"/>
  <c r="E1091" i="2"/>
  <c r="F1090" i="2"/>
  <c r="E1090" i="2"/>
  <c r="G1089" i="2"/>
  <c r="D1089" i="2" s="1"/>
  <c r="F1089" i="2"/>
  <c r="E1089" i="2"/>
  <c r="F1088" i="2"/>
  <c r="E1088" i="2"/>
  <c r="B1041" i="2"/>
  <c r="B1038" i="2"/>
  <c r="B1035" i="2"/>
  <c r="B1032" i="2"/>
  <c r="B1029" i="2"/>
  <c r="B1026" i="2"/>
  <c r="B1023" i="2"/>
  <c r="B1020" i="2"/>
  <c r="B1017" i="2"/>
  <c r="B1014" i="2"/>
  <c r="B1011" i="2"/>
  <c r="B1008" i="2"/>
  <c r="G1126" i="2"/>
  <c r="D1126" i="2" s="1"/>
  <c r="G1120" i="2"/>
  <c r="D1120" i="2" s="1"/>
  <c r="G1118" i="2"/>
  <c r="D1118" i="2" s="1"/>
  <c r="G1116" i="2"/>
  <c r="D1116" i="2" s="1"/>
  <c r="F1104" i="2"/>
  <c r="G1105" i="2"/>
  <c r="D1105" i="2" s="1"/>
  <c r="G1107" i="2"/>
  <c r="D1107" i="2" s="1"/>
  <c r="F1103" i="2"/>
  <c r="G1078" i="2"/>
  <c r="D1078" i="2" s="1"/>
  <c r="D1079" i="2"/>
  <c r="F1080" i="2"/>
  <c r="F1084" i="2"/>
  <c r="G1086" i="2"/>
  <c r="D1086" i="2" s="1"/>
  <c r="E1076" i="2"/>
  <c r="F1076" i="2"/>
  <c r="E1077" i="2"/>
  <c r="E1078" i="2"/>
  <c r="F1078" i="2"/>
  <c r="E1079" i="2"/>
  <c r="E1080" i="2"/>
  <c r="E1081" i="2"/>
  <c r="E1082" i="2"/>
  <c r="F1082" i="2"/>
  <c r="E1083" i="2"/>
  <c r="E1084" i="2"/>
  <c r="E1085" i="2"/>
  <c r="E1086" i="2"/>
  <c r="F1086" i="2"/>
  <c r="E1075" i="2"/>
  <c r="F1075" i="2"/>
  <c r="G1070" i="2"/>
  <c r="D1070" i="2" s="1"/>
  <c r="G1063" i="2"/>
  <c r="D1063" i="2" s="1"/>
  <c r="G1061" i="2"/>
  <c r="D1061" i="2" s="1"/>
  <c r="F1060" i="2"/>
  <c r="G1071" i="2"/>
  <c r="D1071" i="2" s="1"/>
  <c r="F1071" i="2"/>
  <c r="E1071" i="2"/>
  <c r="F1070" i="2"/>
  <c r="E1070" i="2"/>
  <c r="E1069" i="2"/>
  <c r="F1068" i="2"/>
  <c r="E1068" i="2"/>
  <c r="F1067" i="2"/>
  <c r="J78" i="1" s="1"/>
  <c r="E1067" i="2"/>
  <c r="F1066" i="2"/>
  <c r="E1066" i="2"/>
  <c r="F1065" i="2"/>
  <c r="E1065" i="2"/>
  <c r="F1064" i="2"/>
  <c r="E1064" i="2"/>
  <c r="F1063" i="2"/>
  <c r="E1063" i="2"/>
  <c r="G1062" i="2"/>
  <c r="D1062" i="2" s="1"/>
  <c r="F1062" i="2"/>
  <c r="E1062" i="2"/>
  <c r="F1061" i="2"/>
  <c r="J77" i="1" s="1"/>
  <c r="E1061" i="2"/>
  <c r="E1060" i="2"/>
  <c r="E1048" i="2"/>
  <c r="F1048" i="2"/>
  <c r="E1049" i="2"/>
  <c r="F1049" i="2"/>
  <c r="E1050" i="2"/>
  <c r="F1050" i="2"/>
  <c r="E1051" i="2"/>
  <c r="F1051" i="2"/>
  <c r="E1052" i="2"/>
  <c r="F1052" i="2"/>
  <c r="E1053" i="2"/>
  <c r="F1053" i="2"/>
  <c r="E1054" i="2"/>
  <c r="F1054" i="2"/>
  <c r="E1055" i="2"/>
  <c r="F1055" i="2"/>
  <c r="E1056" i="2"/>
  <c r="F1056" i="2"/>
  <c r="E1057" i="2"/>
  <c r="F1057" i="2"/>
  <c r="E1058" i="2"/>
  <c r="F1058" i="2"/>
  <c r="G1048" i="2"/>
  <c r="D1048" i="2" s="1"/>
  <c r="G1050" i="2"/>
  <c r="D1050" i="2" s="1"/>
  <c r="G1058" i="2"/>
  <c r="D1058" i="2" s="1"/>
  <c r="F1047" i="2"/>
  <c r="I75" i="1" s="1"/>
  <c r="E1047" i="2"/>
  <c r="B1005" i="2"/>
  <c r="B1002" i="2"/>
  <c r="B999" i="2"/>
  <c r="B996" i="2"/>
  <c r="B993" i="2"/>
  <c r="B990" i="2"/>
  <c r="B987" i="2"/>
  <c r="B984" i="2"/>
  <c r="B981" i="2"/>
  <c r="B978" i="2"/>
  <c r="B975" i="2"/>
  <c r="B972" i="2"/>
  <c r="E1043" i="2"/>
  <c r="F1042" i="2"/>
  <c r="E1042" i="2"/>
  <c r="F1040" i="2"/>
  <c r="E1040" i="2"/>
  <c r="F1039" i="2"/>
  <c r="E1039" i="2"/>
  <c r="F1037" i="2"/>
  <c r="E1037" i="2"/>
  <c r="F1036" i="2"/>
  <c r="E1036" i="2"/>
  <c r="G1034" i="2"/>
  <c r="D1034" i="2" s="1"/>
  <c r="F1034" i="2"/>
  <c r="E1034" i="2"/>
  <c r="G1033" i="2"/>
  <c r="D1033" i="2" s="1"/>
  <c r="F1033" i="2"/>
  <c r="E1033" i="2"/>
  <c r="F1031" i="2"/>
  <c r="E1031" i="2"/>
  <c r="F1030" i="2"/>
  <c r="E1030" i="2"/>
  <c r="G1028" i="2"/>
  <c r="D1028" i="2" s="1"/>
  <c r="F1028" i="2"/>
  <c r="E1028" i="2"/>
  <c r="F1027" i="2"/>
  <c r="E1027" i="2"/>
  <c r="F1025" i="2"/>
  <c r="E1025" i="2"/>
  <c r="F1024" i="2"/>
  <c r="E1024" i="2"/>
  <c r="F1022" i="2"/>
  <c r="E1022" i="2"/>
  <c r="F1021" i="2"/>
  <c r="E1021" i="2"/>
  <c r="F1019" i="2"/>
  <c r="E1019" i="2"/>
  <c r="F1018" i="2"/>
  <c r="E1018" i="2"/>
  <c r="G1016" i="2"/>
  <c r="D1016" i="2" s="1"/>
  <c r="F1016" i="2"/>
  <c r="E1016" i="2"/>
  <c r="F1015" i="2"/>
  <c r="E1015" i="2"/>
  <c r="F1013" i="2"/>
  <c r="E1013" i="2"/>
  <c r="F1012" i="2"/>
  <c r="E1012" i="2"/>
  <c r="G1010" i="2"/>
  <c r="D1010" i="2" s="1"/>
  <c r="F1010" i="2"/>
  <c r="E1010" i="2"/>
  <c r="F1009" i="2"/>
  <c r="E1009" i="2"/>
  <c r="F974" i="2"/>
  <c r="F973" i="2"/>
  <c r="G980" i="2"/>
  <c r="D980" i="2" s="1"/>
  <c r="G998" i="2"/>
  <c r="D998" i="2" s="1"/>
  <c r="G1004" i="2"/>
  <c r="D1004" i="2" s="1"/>
  <c r="F1007" i="2"/>
  <c r="E1007" i="2"/>
  <c r="E1006" i="2"/>
  <c r="F1004" i="2"/>
  <c r="E1004" i="2"/>
  <c r="F1003" i="2"/>
  <c r="E1003" i="2"/>
  <c r="F1001" i="2"/>
  <c r="E1001" i="2"/>
  <c r="F1000" i="2"/>
  <c r="E1000" i="2"/>
  <c r="F998" i="2"/>
  <c r="E998" i="2"/>
  <c r="F997" i="2"/>
  <c r="E997" i="2"/>
  <c r="F995" i="2"/>
  <c r="E995" i="2"/>
  <c r="F994" i="2"/>
  <c r="E994" i="2"/>
  <c r="F992" i="2"/>
  <c r="E992" i="2"/>
  <c r="F991" i="2"/>
  <c r="E991" i="2"/>
  <c r="F989" i="2"/>
  <c r="E989" i="2"/>
  <c r="F988" i="2"/>
  <c r="E988" i="2"/>
  <c r="F986" i="2"/>
  <c r="E986" i="2"/>
  <c r="F985" i="2"/>
  <c r="E985" i="2"/>
  <c r="F983" i="2"/>
  <c r="E983" i="2"/>
  <c r="F982" i="2"/>
  <c r="E982" i="2"/>
  <c r="F980" i="2"/>
  <c r="E980" i="2"/>
  <c r="E979" i="2"/>
  <c r="F977" i="2"/>
  <c r="E977" i="2"/>
  <c r="E976" i="2"/>
  <c r="E974" i="2"/>
  <c r="E973" i="2"/>
  <c r="B939" i="2"/>
  <c r="B936" i="2"/>
  <c r="B933" i="2"/>
  <c r="B930" i="2"/>
  <c r="B927" i="2"/>
  <c r="B924" i="2"/>
  <c r="B921" i="2"/>
  <c r="B918" i="2"/>
  <c r="B915" i="2"/>
  <c r="B912" i="2"/>
  <c r="B909" i="2"/>
  <c r="B906" i="2"/>
  <c r="E941" i="2"/>
  <c r="F940" i="2"/>
  <c r="E940" i="2"/>
  <c r="F938" i="2"/>
  <c r="E938" i="2"/>
  <c r="F937" i="2"/>
  <c r="E937" i="2"/>
  <c r="G935" i="2"/>
  <c r="D935" i="2" s="1"/>
  <c r="F935" i="2"/>
  <c r="E935" i="2"/>
  <c r="F934" i="2"/>
  <c r="E934" i="2"/>
  <c r="F932" i="2"/>
  <c r="E932" i="2"/>
  <c r="F931" i="2"/>
  <c r="E931" i="2"/>
  <c r="G929" i="2"/>
  <c r="D929" i="2" s="1"/>
  <c r="F929" i="2"/>
  <c r="E929" i="2"/>
  <c r="F928" i="2"/>
  <c r="E928" i="2"/>
  <c r="G926" i="2"/>
  <c r="D926" i="2" s="1"/>
  <c r="F926" i="2"/>
  <c r="E926" i="2"/>
  <c r="F925" i="2"/>
  <c r="E925" i="2"/>
  <c r="F923" i="2"/>
  <c r="E923" i="2"/>
  <c r="F922" i="2"/>
  <c r="E922" i="2"/>
  <c r="F920" i="2"/>
  <c r="E920" i="2"/>
  <c r="F919" i="2"/>
  <c r="E919" i="2"/>
  <c r="G917" i="2"/>
  <c r="D917" i="2" s="1"/>
  <c r="F917" i="2"/>
  <c r="E917" i="2"/>
  <c r="F916" i="2"/>
  <c r="E916" i="2"/>
  <c r="G914" i="2"/>
  <c r="D914" i="2" s="1"/>
  <c r="F914" i="2"/>
  <c r="E914" i="2"/>
  <c r="F913" i="2"/>
  <c r="E913" i="2"/>
  <c r="G911" i="2"/>
  <c r="D911" i="2" s="1"/>
  <c r="F911" i="2"/>
  <c r="E911" i="2"/>
  <c r="F910" i="2"/>
  <c r="E910" i="2"/>
  <c r="F908" i="2"/>
  <c r="E908" i="2"/>
  <c r="F907" i="2"/>
  <c r="E907" i="2"/>
  <c r="E945" i="2"/>
  <c r="E946" i="2"/>
  <c r="F946" i="2"/>
  <c r="E947" i="2"/>
  <c r="F947" i="2"/>
  <c r="G947" i="2"/>
  <c r="D947" i="2" s="1"/>
  <c r="E948" i="2"/>
  <c r="E949" i="2"/>
  <c r="F949" i="2"/>
  <c r="G949" i="2"/>
  <c r="D949" i="2" s="1"/>
  <c r="E950" i="2"/>
  <c r="F950" i="2"/>
  <c r="E951" i="2"/>
  <c r="E952" i="2"/>
  <c r="F952" i="2"/>
  <c r="G878" i="2"/>
  <c r="D878" i="2" s="1"/>
  <c r="G887" i="2"/>
  <c r="D887" i="2" s="1"/>
  <c r="G893" i="2"/>
  <c r="D893" i="2" s="1"/>
  <c r="F905" i="2"/>
  <c r="E905" i="2"/>
  <c r="F904" i="2"/>
  <c r="E904" i="2"/>
  <c r="B903" i="2"/>
  <c r="G902" i="2"/>
  <c r="D902" i="2" s="1"/>
  <c r="F902" i="2"/>
  <c r="E902" i="2"/>
  <c r="F901" i="2"/>
  <c r="E901" i="2"/>
  <c r="B900" i="2"/>
  <c r="F899" i="2"/>
  <c r="E899" i="2"/>
  <c r="F898" i="2"/>
  <c r="E898" i="2"/>
  <c r="B897" i="2"/>
  <c r="F896" i="2"/>
  <c r="E896" i="2"/>
  <c r="F895" i="2"/>
  <c r="E895" i="2"/>
  <c r="B894" i="2"/>
  <c r="F893" i="2"/>
  <c r="E893" i="2"/>
  <c r="F892" i="2"/>
  <c r="E892" i="2"/>
  <c r="B891" i="2"/>
  <c r="F890" i="2"/>
  <c r="E890" i="2"/>
  <c r="F889" i="2"/>
  <c r="E889" i="2"/>
  <c r="B888" i="2"/>
  <c r="F887" i="2"/>
  <c r="E887" i="2"/>
  <c r="F886" i="2"/>
  <c r="E886" i="2"/>
  <c r="B885" i="2"/>
  <c r="F884" i="2"/>
  <c r="E884" i="2"/>
  <c r="F883" i="2"/>
  <c r="E883" i="2"/>
  <c r="B882" i="2"/>
  <c r="F881" i="2"/>
  <c r="E881" i="2"/>
  <c r="F880" i="2"/>
  <c r="E880" i="2"/>
  <c r="B879" i="2"/>
  <c r="F878" i="2"/>
  <c r="E878" i="2"/>
  <c r="F877" i="2"/>
  <c r="E877" i="2"/>
  <c r="B876" i="2"/>
  <c r="F875" i="2"/>
  <c r="E875" i="2"/>
  <c r="F874" i="2"/>
  <c r="E874" i="2"/>
  <c r="B873" i="2"/>
  <c r="F872" i="2"/>
  <c r="E872" i="2"/>
  <c r="E871" i="2"/>
  <c r="B870" i="2"/>
  <c r="F969" i="2"/>
  <c r="E969" i="2"/>
  <c r="F968" i="2"/>
  <c r="E968" i="2"/>
  <c r="F967" i="2"/>
  <c r="E967" i="2"/>
  <c r="F966" i="2"/>
  <c r="E966" i="2"/>
  <c r="F965" i="2"/>
  <c r="E965" i="2"/>
  <c r="F964" i="2"/>
  <c r="E964" i="2"/>
  <c r="E963" i="2"/>
  <c r="G962" i="2"/>
  <c r="D962" i="2" s="1"/>
  <c r="F962" i="2"/>
  <c r="E962" i="2"/>
  <c r="G961" i="2"/>
  <c r="D961" i="2" s="1"/>
  <c r="F961" i="2"/>
  <c r="E961" i="2"/>
  <c r="G960" i="2"/>
  <c r="D960" i="2" s="1"/>
  <c r="F960" i="2"/>
  <c r="E960" i="2"/>
  <c r="G959" i="2"/>
  <c r="D959" i="2" s="1"/>
  <c r="F959" i="2"/>
  <c r="E959" i="2"/>
  <c r="G958" i="2"/>
  <c r="D958" i="2" s="1"/>
  <c r="E958" i="2"/>
  <c r="E953" i="2"/>
  <c r="F953" i="2"/>
  <c r="E954" i="2"/>
  <c r="F954" i="2"/>
  <c r="E955" i="2"/>
  <c r="E956" i="2"/>
  <c r="F956" i="2"/>
  <c r="B832" i="2"/>
  <c r="B865" i="2"/>
  <c r="B862" i="2"/>
  <c r="B859" i="2"/>
  <c r="B856" i="2"/>
  <c r="B853" i="2"/>
  <c r="B850" i="2"/>
  <c r="B847" i="2"/>
  <c r="B844" i="2"/>
  <c r="B841" i="2"/>
  <c r="B838" i="2"/>
  <c r="B835" i="2"/>
  <c r="E867" i="2"/>
  <c r="F866" i="2"/>
  <c r="E866" i="2"/>
  <c r="F864" i="2"/>
  <c r="E864" i="2"/>
  <c r="F863" i="2"/>
  <c r="E863" i="2"/>
  <c r="F861" i="2"/>
  <c r="E861" i="2"/>
  <c r="F860" i="2"/>
  <c r="E860" i="2"/>
  <c r="G858" i="2"/>
  <c r="D858" i="2" s="1"/>
  <c r="F858" i="2"/>
  <c r="E858" i="2"/>
  <c r="F857" i="2"/>
  <c r="E857" i="2"/>
  <c r="G855" i="2"/>
  <c r="D855" i="2" s="1"/>
  <c r="F855" i="2"/>
  <c r="E855" i="2"/>
  <c r="F854" i="2"/>
  <c r="E854" i="2"/>
  <c r="G852" i="2"/>
  <c r="D852" i="2" s="1"/>
  <c r="F852" i="2"/>
  <c r="E852" i="2"/>
  <c r="F851" i="2"/>
  <c r="E851" i="2"/>
  <c r="G849" i="2"/>
  <c r="D849" i="2" s="1"/>
  <c r="F849" i="2"/>
  <c r="E849" i="2"/>
  <c r="F848" i="2"/>
  <c r="E848" i="2"/>
  <c r="F846" i="2"/>
  <c r="E846" i="2"/>
  <c r="F845" i="2"/>
  <c r="E845" i="2"/>
  <c r="F843" i="2"/>
  <c r="E843" i="2"/>
  <c r="F842" i="2"/>
  <c r="E842" i="2"/>
  <c r="F840" i="2"/>
  <c r="E840" i="2"/>
  <c r="F839" i="2"/>
  <c r="E839" i="2"/>
  <c r="G837" i="2"/>
  <c r="D837" i="2" s="1"/>
  <c r="F837" i="2"/>
  <c r="E837" i="2"/>
  <c r="F836" i="2"/>
  <c r="E836" i="2"/>
  <c r="G834" i="2"/>
  <c r="D834" i="2" s="1"/>
  <c r="F834" i="2"/>
  <c r="E834" i="2"/>
  <c r="F833" i="2"/>
  <c r="E833" i="2"/>
  <c r="G828" i="2"/>
  <c r="D828" i="2" s="1"/>
  <c r="G821" i="2"/>
  <c r="D821" i="2" s="1"/>
  <c r="G819" i="2"/>
  <c r="D819" i="2" s="1"/>
  <c r="G818" i="2"/>
  <c r="D818" i="2" s="1"/>
  <c r="G816" i="2"/>
  <c r="D816" i="2" s="1"/>
  <c r="G806" i="2"/>
  <c r="D806" i="2" s="1"/>
  <c r="G804" i="2"/>
  <c r="D804" i="2" s="1"/>
  <c r="G803" i="2"/>
  <c r="D803" i="2" s="1"/>
  <c r="E831" i="2"/>
  <c r="F831" i="2"/>
  <c r="E828" i="2"/>
  <c r="F828" i="2"/>
  <c r="E825" i="2"/>
  <c r="F825" i="2"/>
  <c r="E822" i="2"/>
  <c r="F822" i="2"/>
  <c r="E819" i="2"/>
  <c r="F819" i="2"/>
  <c r="E816" i="2"/>
  <c r="F816" i="2"/>
  <c r="E813" i="2"/>
  <c r="F813" i="2"/>
  <c r="E810" i="2"/>
  <c r="F810" i="2"/>
  <c r="F830" i="2"/>
  <c r="E830" i="2"/>
  <c r="F827" i="2"/>
  <c r="E827" i="2"/>
  <c r="F824" i="2"/>
  <c r="E824" i="2"/>
  <c r="F821" i="2"/>
  <c r="E821" i="2"/>
  <c r="F818" i="2"/>
  <c r="E818" i="2"/>
  <c r="E815" i="2"/>
  <c r="F812" i="2"/>
  <c r="E812" i="2"/>
  <c r="F809" i="2"/>
  <c r="E809" i="2"/>
  <c r="F807" i="2"/>
  <c r="E807" i="2"/>
  <c r="E806" i="2"/>
  <c r="F804" i="2"/>
  <c r="E804" i="2"/>
  <c r="E803" i="2"/>
  <c r="F801" i="2"/>
  <c r="E801" i="2"/>
  <c r="E800" i="2"/>
  <c r="B829" i="2"/>
  <c r="B826" i="2"/>
  <c r="B823" i="2"/>
  <c r="B820" i="2"/>
  <c r="B817" i="2"/>
  <c r="B814" i="2"/>
  <c r="B811" i="2"/>
  <c r="B808" i="2"/>
  <c r="B805" i="2"/>
  <c r="B802" i="2"/>
  <c r="E798" i="2"/>
  <c r="B799" i="2"/>
  <c r="B796" i="2"/>
  <c r="E793" i="2"/>
  <c r="F792" i="2"/>
  <c r="E792" i="2"/>
  <c r="F791" i="2"/>
  <c r="E791" i="2"/>
  <c r="F790" i="2"/>
  <c r="E790" i="2"/>
  <c r="F789" i="2"/>
  <c r="E789" i="2"/>
  <c r="E788" i="2"/>
  <c r="E787" i="2"/>
  <c r="E786" i="2"/>
  <c r="E785" i="2"/>
  <c r="E784" i="2"/>
  <c r="F782" i="2"/>
  <c r="E782" i="2"/>
  <c r="F781" i="2"/>
  <c r="E781" i="2"/>
  <c r="F780" i="2"/>
  <c r="E780" i="2"/>
  <c r="F779" i="2"/>
  <c r="E779" i="2"/>
  <c r="E778" i="2"/>
  <c r="E777" i="2"/>
  <c r="E776" i="2"/>
  <c r="E775" i="2"/>
  <c r="E774" i="2"/>
  <c r="E773" i="2"/>
  <c r="F771" i="2"/>
  <c r="E771" i="2"/>
  <c r="F770" i="2"/>
  <c r="E770" i="2"/>
  <c r="F769" i="2"/>
  <c r="E769" i="2"/>
  <c r="F768" i="2"/>
  <c r="E768" i="2"/>
  <c r="F767" i="2"/>
  <c r="E767" i="2"/>
  <c r="F766" i="2"/>
  <c r="E766" i="2"/>
  <c r="E765" i="2"/>
  <c r="E764" i="2"/>
  <c r="F763" i="2"/>
  <c r="E763" i="2"/>
  <c r="F762" i="2"/>
  <c r="E762" i="2"/>
  <c r="F760" i="2"/>
  <c r="E760" i="2"/>
  <c r="F759" i="2"/>
  <c r="E759" i="2"/>
  <c r="F758" i="2"/>
  <c r="E758" i="2"/>
  <c r="F757" i="2"/>
  <c r="E757" i="2"/>
  <c r="F756" i="2"/>
  <c r="E756" i="2"/>
  <c r="F755" i="2"/>
  <c r="E755" i="2"/>
  <c r="E754" i="2"/>
  <c r="E753" i="2"/>
  <c r="E752" i="2"/>
  <c r="E751" i="2"/>
  <c r="F749" i="2"/>
  <c r="E749" i="2"/>
  <c r="F748" i="2"/>
  <c r="E748" i="2"/>
  <c r="F747" i="2"/>
  <c r="E747" i="2"/>
  <c r="F746" i="2"/>
  <c r="E746" i="2"/>
  <c r="F745" i="2"/>
  <c r="E745" i="2"/>
  <c r="F744" i="2"/>
  <c r="E744" i="2"/>
  <c r="F743" i="2"/>
  <c r="E743" i="2"/>
  <c r="E742" i="2"/>
  <c r="E741" i="2"/>
  <c r="E740" i="2"/>
  <c r="F738" i="2"/>
  <c r="E738" i="2"/>
  <c r="F737" i="2"/>
  <c r="E737" i="2"/>
  <c r="F736" i="2"/>
  <c r="E736" i="2"/>
  <c r="F735" i="2"/>
  <c r="E735" i="2"/>
  <c r="F734" i="2"/>
  <c r="E734" i="2"/>
  <c r="F733" i="2"/>
  <c r="E733" i="2"/>
  <c r="E732" i="2"/>
  <c r="E731" i="2"/>
  <c r="E730" i="2"/>
  <c r="E729" i="2"/>
  <c r="F727" i="2"/>
  <c r="E727" i="2"/>
  <c r="F726" i="2"/>
  <c r="E726" i="2"/>
  <c r="F725" i="2"/>
  <c r="E725" i="2"/>
  <c r="F724" i="2"/>
  <c r="E724" i="2"/>
  <c r="F723" i="2"/>
  <c r="E723" i="2"/>
  <c r="F722" i="2"/>
  <c r="E722" i="2"/>
  <c r="E721" i="2"/>
  <c r="E720" i="2"/>
  <c r="E719" i="2"/>
  <c r="E718" i="2"/>
  <c r="F716" i="2"/>
  <c r="E716" i="2"/>
  <c r="F715" i="2"/>
  <c r="E715" i="2"/>
  <c r="F714" i="2"/>
  <c r="E714" i="2"/>
  <c r="F713" i="2"/>
  <c r="E713" i="2"/>
  <c r="F712" i="2"/>
  <c r="E712" i="2"/>
  <c r="F711" i="2"/>
  <c r="E711" i="2"/>
  <c r="E710" i="2"/>
  <c r="E709" i="2"/>
  <c r="E708" i="2"/>
  <c r="E707" i="2"/>
  <c r="F705" i="2"/>
  <c r="E705" i="2"/>
  <c r="F704" i="2"/>
  <c r="E704" i="2"/>
  <c r="F703" i="2"/>
  <c r="E703" i="2"/>
  <c r="F702" i="2"/>
  <c r="E702" i="2"/>
  <c r="F701" i="2"/>
  <c r="E701" i="2"/>
  <c r="F700" i="2"/>
  <c r="E700" i="2"/>
  <c r="F699" i="2"/>
  <c r="E699" i="2"/>
  <c r="E698" i="2"/>
  <c r="E697" i="2"/>
  <c r="E696" i="2"/>
  <c r="F694" i="2"/>
  <c r="E694" i="2"/>
  <c r="F693" i="2"/>
  <c r="E693" i="2"/>
  <c r="F692" i="2"/>
  <c r="E692" i="2"/>
  <c r="F691" i="2"/>
  <c r="E691" i="2"/>
  <c r="F690" i="2"/>
  <c r="E690" i="2"/>
  <c r="F689" i="2"/>
  <c r="E689" i="2"/>
  <c r="F688" i="2"/>
  <c r="E688" i="2"/>
  <c r="E687" i="2"/>
  <c r="E686" i="2"/>
  <c r="E685" i="2"/>
  <c r="F683" i="2"/>
  <c r="E683" i="2"/>
  <c r="F682" i="2"/>
  <c r="E682" i="2"/>
  <c r="F681" i="2"/>
  <c r="E681" i="2"/>
  <c r="F680" i="2"/>
  <c r="E680" i="2"/>
  <c r="F679" i="2"/>
  <c r="E679" i="2"/>
  <c r="F678" i="2"/>
  <c r="E678" i="2"/>
  <c r="F677" i="2"/>
  <c r="E677" i="2"/>
  <c r="E676" i="2"/>
  <c r="E675" i="2"/>
  <c r="E674" i="2"/>
  <c r="F672" i="2"/>
  <c r="E672" i="2"/>
  <c r="E671" i="2"/>
  <c r="F670" i="2"/>
  <c r="E670" i="2"/>
  <c r="E669" i="2"/>
  <c r="F668" i="2"/>
  <c r="E668" i="2"/>
  <c r="E667" i="2"/>
  <c r="F666" i="2"/>
  <c r="E666" i="2"/>
  <c r="E665" i="2"/>
  <c r="E664" i="2"/>
  <c r="E663" i="2"/>
  <c r="F661" i="2"/>
  <c r="E661" i="2"/>
  <c r="F660" i="2"/>
  <c r="E660" i="2"/>
  <c r="F659" i="2"/>
  <c r="E659" i="2"/>
  <c r="F658" i="2"/>
  <c r="E658" i="2"/>
  <c r="F657" i="2"/>
  <c r="E657" i="2"/>
  <c r="F656" i="2"/>
  <c r="E656" i="2"/>
  <c r="F655" i="2"/>
  <c r="E655" i="2"/>
  <c r="E654" i="2"/>
  <c r="E653" i="2"/>
  <c r="E652" i="2"/>
  <c r="F650" i="2"/>
  <c r="E650" i="2"/>
  <c r="F649" i="2"/>
  <c r="E649" i="2"/>
  <c r="F648" i="2"/>
  <c r="E648" i="2"/>
  <c r="F647" i="2"/>
  <c r="E647" i="2"/>
  <c r="F646" i="2"/>
  <c r="E646" i="2"/>
  <c r="F645" i="2"/>
  <c r="E645" i="2"/>
  <c r="F644" i="2"/>
  <c r="E644" i="2"/>
  <c r="E643" i="2"/>
  <c r="E642" i="2"/>
  <c r="E641" i="2"/>
  <c r="F639" i="2"/>
  <c r="E639" i="2"/>
  <c r="F638" i="2"/>
  <c r="E638" i="2"/>
  <c r="F637" i="2"/>
  <c r="E637" i="2"/>
  <c r="F636" i="2"/>
  <c r="E636" i="2"/>
  <c r="F635" i="2"/>
  <c r="E635" i="2"/>
  <c r="F634" i="2"/>
  <c r="E634" i="2"/>
  <c r="F633" i="2"/>
  <c r="E633" i="2"/>
  <c r="E632" i="2"/>
  <c r="E631" i="2"/>
  <c r="E630" i="2"/>
  <c r="F628" i="2"/>
  <c r="E628" i="2"/>
  <c r="F627" i="2"/>
  <c r="E627" i="2"/>
  <c r="F626" i="2"/>
  <c r="E626" i="2"/>
  <c r="F625" i="2"/>
  <c r="E625" i="2"/>
  <c r="F624" i="2"/>
  <c r="E624" i="2"/>
  <c r="F623" i="2"/>
  <c r="E623" i="2"/>
  <c r="F622" i="2"/>
  <c r="E622" i="2"/>
  <c r="E621" i="2"/>
  <c r="E620" i="2"/>
  <c r="E619" i="2"/>
  <c r="F617" i="2"/>
  <c r="E617" i="2"/>
  <c r="F616" i="2"/>
  <c r="E616" i="2"/>
  <c r="F615" i="2"/>
  <c r="E615" i="2"/>
  <c r="F614" i="2"/>
  <c r="E614" i="2"/>
  <c r="F613" i="2"/>
  <c r="E613" i="2"/>
  <c r="F612" i="2"/>
  <c r="E612" i="2"/>
  <c r="F611" i="2"/>
  <c r="E611" i="2"/>
  <c r="E610" i="2"/>
  <c r="E609" i="2"/>
  <c r="E608" i="2"/>
  <c r="F606" i="2"/>
  <c r="E606" i="2"/>
  <c r="F605" i="2"/>
  <c r="E605" i="2"/>
  <c r="F604" i="2"/>
  <c r="E604" i="2"/>
  <c r="F603" i="2"/>
  <c r="E603" i="2"/>
  <c r="F602" i="2"/>
  <c r="E602" i="2"/>
  <c r="F601" i="2"/>
  <c r="E601" i="2"/>
  <c r="F600" i="2"/>
  <c r="E600" i="2"/>
  <c r="E599" i="2"/>
  <c r="E598" i="2"/>
  <c r="E597" i="2"/>
  <c r="F595" i="2"/>
  <c r="E595" i="2"/>
  <c r="F594" i="2"/>
  <c r="E594" i="2"/>
  <c r="F593" i="2"/>
  <c r="E593" i="2"/>
  <c r="F592" i="2"/>
  <c r="E592" i="2"/>
  <c r="F591" i="2"/>
  <c r="E591" i="2"/>
  <c r="F590" i="2"/>
  <c r="E590" i="2"/>
  <c r="F589" i="2"/>
  <c r="E589" i="2"/>
  <c r="E588" i="2"/>
  <c r="E587" i="2"/>
  <c r="E586" i="2"/>
  <c r="F584" i="2"/>
  <c r="E584" i="2"/>
  <c r="F583" i="2"/>
  <c r="E583" i="2"/>
  <c r="F582" i="2"/>
  <c r="E582" i="2"/>
  <c r="F581" i="2"/>
  <c r="E581" i="2"/>
  <c r="F580" i="2"/>
  <c r="E580" i="2"/>
  <c r="F579" i="2"/>
  <c r="E579" i="2"/>
  <c r="F578" i="2"/>
  <c r="E578" i="2"/>
  <c r="F577" i="2"/>
  <c r="E577" i="2"/>
  <c r="F576" i="2"/>
  <c r="E576" i="2"/>
  <c r="E575" i="2"/>
  <c r="F573" i="2"/>
  <c r="E573" i="2"/>
  <c r="F572" i="2"/>
  <c r="E572" i="2"/>
  <c r="F571" i="2"/>
  <c r="E571" i="2"/>
  <c r="F570" i="2"/>
  <c r="E570" i="2"/>
  <c r="F569" i="2"/>
  <c r="E569" i="2"/>
  <c r="F568" i="2"/>
  <c r="E568" i="2"/>
  <c r="E567" i="2"/>
  <c r="E566" i="2"/>
  <c r="E565" i="2"/>
  <c r="E564" i="2"/>
  <c r="F562" i="2"/>
  <c r="E562" i="2"/>
  <c r="F561" i="2"/>
  <c r="E561" i="2"/>
  <c r="F560" i="2"/>
  <c r="E560" i="2"/>
  <c r="F559" i="2"/>
  <c r="E559" i="2"/>
  <c r="F558" i="2"/>
  <c r="E558" i="2"/>
  <c r="F557" i="2"/>
  <c r="E557" i="2"/>
  <c r="E556" i="2"/>
  <c r="E555" i="2"/>
  <c r="E554" i="2"/>
  <c r="E553" i="2"/>
  <c r="F551" i="2"/>
  <c r="E551" i="2"/>
  <c r="F550" i="2"/>
  <c r="E550" i="2"/>
  <c r="F549" i="2"/>
  <c r="E549" i="2"/>
  <c r="F548" i="2"/>
  <c r="E548" i="2"/>
  <c r="F547" i="2"/>
  <c r="E547" i="2"/>
  <c r="F546" i="2"/>
  <c r="E546" i="2"/>
  <c r="E545" i="2"/>
  <c r="E544" i="2"/>
  <c r="E543" i="2"/>
  <c r="E542" i="2"/>
  <c r="F527" i="2"/>
  <c r="E527" i="2"/>
  <c r="F526" i="2"/>
  <c r="E526" i="2"/>
  <c r="E525" i="2"/>
  <c r="E524" i="2"/>
  <c r="E523" i="2"/>
  <c r="E522" i="2"/>
  <c r="E521" i="2"/>
  <c r="E520" i="2"/>
  <c r="E519" i="2"/>
  <c r="E518" i="2"/>
  <c r="F516" i="2"/>
  <c r="E516" i="2"/>
  <c r="F515" i="2"/>
  <c r="E515" i="2"/>
  <c r="E514" i="2"/>
  <c r="E513" i="2"/>
  <c r="E512" i="2"/>
  <c r="E511" i="2"/>
  <c r="E510" i="2"/>
  <c r="E509" i="2"/>
  <c r="E508" i="2"/>
  <c r="E507" i="2"/>
  <c r="E505" i="2"/>
  <c r="E504" i="2"/>
  <c r="E503" i="2"/>
  <c r="E502" i="2"/>
  <c r="E501" i="2"/>
  <c r="E500" i="2"/>
  <c r="E499" i="2"/>
  <c r="E498" i="2"/>
  <c r="E497" i="2"/>
  <c r="E496" i="2"/>
  <c r="F494" i="2"/>
  <c r="E494" i="2"/>
  <c r="E493" i="2"/>
  <c r="E492" i="2"/>
  <c r="E491" i="2"/>
  <c r="E490" i="2"/>
  <c r="E489" i="2"/>
  <c r="E488" i="2"/>
  <c r="E487" i="2"/>
  <c r="E486" i="2"/>
  <c r="E485" i="2"/>
  <c r="F483" i="2"/>
  <c r="E483" i="2"/>
  <c r="F482" i="2"/>
  <c r="E482" i="2"/>
  <c r="E481" i="2"/>
  <c r="E480" i="2"/>
  <c r="E479" i="2"/>
  <c r="E478" i="2"/>
  <c r="E477" i="2"/>
  <c r="E476" i="2"/>
  <c r="E475" i="2"/>
  <c r="E474" i="2"/>
  <c r="F472" i="2"/>
  <c r="E472" i="2"/>
  <c r="F471" i="2"/>
  <c r="E471" i="2"/>
  <c r="E470" i="2"/>
  <c r="E469" i="2"/>
  <c r="E468" i="2"/>
  <c r="E467" i="2"/>
  <c r="E466" i="2"/>
  <c r="E465" i="2"/>
  <c r="E464" i="2"/>
  <c r="E463" i="2"/>
  <c r="F461" i="2"/>
  <c r="E461" i="2"/>
  <c r="F460" i="2"/>
  <c r="E460" i="2"/>
  <c r="E459" i="2"/>
  <c r="E458" i="2"/>
  <c r="E457" i="2"/>
  <c r="E456" i="2"/>
  <c r="E455" i="2"/>
  <c r="E454" i="2"/>
  <c r="E453" i="2"/>
  <c r="E452" i="2"/>
  <c r="F450" i="2"/>
  <c r="E450" i="2"/>
  <c r="F449" i="2"/>
  <c r="E449" i="2"/>
  <c r="E448" i="2"/>
  <c r="E447" i="2"/>
  <c r="E446" i="2"/>
  <c r="E445" i="2"/>
  <c r="E444" i="2"/>
  <c r="E443" i="2"/>
  <c r="E442" i="2"/>
  <c r="E441" i="2"/>
  <c r="F439" i="2"/>
  <c r="E439" i="2"/>
  <c r="F438" i="2"/>
  <c r="E438" i="2"/>
  <c r="F437" i="2"/>
  <c r="E437" i="2"/>
  <c r="E436" i="2"/>
  <c r="F435" i="2"/>
  <c r="E435" i="2"/>
  <c r="E434" i="2"/>
  <c r="E433" i="2"/>
  <c r="E432" i="2"/>
  <c r="E431" i="2"/>
  <c r="E430" i="2"/>
  <c r="F428" i="2"/>
  <c r="E428" i="2"/>
  <c r="F427" i="2"/>
  <c r="E427" i="2"/>
  <c r="E426" i="2"/>
  <c r="E425" i="2"/>
  <c r="E424" i="2"/>
  <c r="E423" i="2"/>
  <c r="E422" i="2"/>
  <c r="E421" i="2"/>
  <c r="E420" i="2"/>
  <c r="E419" i="2"/>
  <c r="F417" i="2"/>
  <c r="E417" i="2"/>
  <c r="F416" i="2"/>
  <c r="E416" i="2"/>
  <c r="E415" i="2"/>
  <c r="E414" i="2"/>
  <c r="E413" i="2"/>
  <c r="E412" i="2"/>
  <c r="E411" i="2"/>
  <c r="E410" i="2"/>
  <c r="E409" i="2"/>
  <c r="E408" i="2"/>
  <c r="F406" i="2"/>
  <c r="E406" i="2"/>
  <c r="F405" i="2"/>
  <c r="E405" i="2"/>
  <c r="E404" i="2"/>
  <c r="E403" i="2"/>
  <c r="E402" i="2"/>
  <c r="E401" i="2"/>
  <c r="E400" i="2"/>
  <c r="E399" i="2"/>
  <c r="E398" i="2"/>
  <c r="E397" i="2"/>
  <c r="F395" i="2"/>
  <c r="E395" i="2"/>
  <c r="F394" i="2"/>
  <c r="E394" i="2"/>
  <c r="E393" i="2"/>
  <c r="E392" i="2"/>
  <c r="E391" i="2"/>
  <c r="E390" i="2"/>
  <c r="E389" i="2"/>
  <c r="E388" i="2"/>
  <c r="E387" i="2"/>
  <c r="E386" i="2"/>
  <c r="F384" i="2"/>
  <c r="E384" i="2"/>
  <c r="F383" i="2"/>
  <c r="E383" i="2"/>
  <c r="E382" i="2"/>
  <c r="E381" i="2"/>
  <c r="E380" i="2"/>
  <c r="E379" i="2"/>
  <c r="E378" i="2"/>
  <c r="E377" i="2"/>
  <c r="E376" i="2"/>
  <c r="E375" i="2"/>
  <c r="F373" i="2"/>
  <c r="E373" i="2"/>
  <c r="F372" i="2"/>
  <c r="E372" i="2"/>
  <c r="E371" i="2"/>
  <c r="E370" i="2"/>
  <c r="E369" i="2"/>
  <c r="E368" i="2"/>
  <c r="E367" i="2"/>
  <c r="E366" i="2"/>
  <c r="E365" i="2"/>
  <c r="E364" i="2"/>
  <c r="F362" i="2"/>
  <c r="E362" i="2"/>
  <c r="F361" i="2"/>
  <c r="E361" i="2"/>
  <c r="E360" i="2"/>
  <c r="E359" i="2"/>
  <c r="E358" i="2"/>
  <c r="E357" i="2"/>
  <c r="E356" i="2"/>
  <c r="E355" i="2"/>
  <c r="E354" i="2"/>
  <c r="E353" i="2"/>
  <c r="F351" i="2"/>
  <c r="E351" i="2"/>
  <c r="F350" i="2"/>
  <c r="E350" i="2"/>
  <c r="E349" i="2"/>
  <c r="E348" i="2"/>
  <c r="E347" i="2"/>
  <c r="E346" i="2"/>
  <c r="E345" i="2"/>
  <c r="E344" i="2"/>
  <c r="E343" i="2"/>
  <c r="E342" i="2"/>
  <c r="F340" i="2"/>
  <c r="E340" i="2"/>
  <c r="F339" i="2"/>
  <c r="E339" i="2"/>
  <c r="E338" i="2"/>
  <c r="E337" i="2"/>
  <c r="E336" i="2"/>
  <c r="E335" i="2"/>
  <c r="E334" i="2"/>
  <c r="E333" i="2"/>
  <c r="E332" i="2"/>
  <c r="E331" i="2"/>
  <c r="F329" i="2"/>
  <c r="E329" i="2"/>
  <c r="F328" i="2"/>
  <c r="E328" i="2"/>
  <c r="E327" i="2"/>
  <c r="E326" i="2"/>
  <c r="E325" i="2"/>
  <c r="E324" i="2"/>
  <c r="E323" i="2"/>
  <c r="E322" i="2"/>
  <c r="E321" i="2"/>
  <c r="E320" i="2"/>
  <c r="F318" i="2"/>
  <c r="E318" i="2"/>
  <c r="F317" i="2"/>
  <c r="E317" i="2"/>
  <c r="F316" i="2"/>
  <c r="E316" i="2"/>
  <c r="E315" i="2"/>
  <c r="F314" i="2"/>
  <c r="E314" i="2"/>
  <c r="E313" i="2"/>
  <c r="E312" i="2"/>
  <c r="E311" i="2"/>
  <c r="E310" i="2"/>
  <c r="E309" i="2"/>
  <c r="F307" i="2"/>
  <c r="E307" i="2"/>
  <c r="F306" i="2"/>
  <c r="E306" i="2"/>
  <c r="E305" i="2"/>
  <c r="E304" i="2"/>
  <c r="E303" i="2"/>
  <c r="E302" i="2"/>
  <c r="E301" i="2"/>
  <c r="E300" i="2"/>
  <c r="E299" i="2"/>
  <c r="E298" i="2"/>
  <c r="F296" i="2"/>
  <c r="E296" i="2"/>
  <c r="F295" i="2"/>
  <c r="E295" i="2"/>
  <c r="E294" i="2"/>
  <c r="E293" i="2"/>
  <c r="E292" i="2"/>
  <c r="E291" i="2"/>
  <c r="E290" i="2"/>
  <c r="E289" i="2"/>
  <c r="E288" i="2"/>
  <c r="E287" i="2"/>
  <c r="F285" i="2"/>
  <c r="E285" i="2"/>
  <c r="F284" i="2"/>
  <c r="E284" i="2"/>
  <c r="F283" i="2"/>
  <c r="E283" i="2"/>
  <c r="E282" i="2"/>
  <c r="E281" i="2"/>
  <c r="F280" i="2"/>
  <c r="E280" i="2"/>
  <c r="E279" i="2"/>
  <c r="F278" i="2"/>
  <c r="E278" i="2"/>
  <c r="F277" i="2"/>
  <c r="E277" i="2"/>
  <c r="E276" i="2"/>
  <c r="E797" i="2"/>
  <c r="E539" i="2"/>
  <c r="J539" i="2"/>
  <c r="G539" i="2" s="1"/>
  <c r="D539" i="2" s="1"/>
  <c r="F539" i="2"/>
  <c r="E540" i="2"/>
  <c r="J540" i="2"/>
  <c r="G540" i="2" s="1"/>
  <c r="D540" i="2" s="1"/>
  <c r="E532" i="2"/>
  <c r="E533" i="2"/>
  <c r="E534" i="2"/>
  <c r="E535" i="2"/>
  <c r="E536" i="2"/>
  <c r="E537" i="2"/>
  <c r="E538" i="2"/>
  <c r="E531" i="2"/>
  <c r="E266" i="2"/>
  <c r="E267" i="2"/>
  <c r="E268" i="2"/>
  <c r="E269" i="2"/>
  <c r="E270" i="2"/>
  <c r="E271" i="2"/>
  <c r="E272" i="2"/>
  <c r="E273" i="2"/>
  <c r="E274" i="2"/>
  <c r="E265" i="2"/>
  <c r="E251" i="2"/>
  <c r="F251" i="2"/>
  <c r="G251" i="2"/>
  <c r="D251" i="2" s="1"/>
  <c r="E252" i="2"/>
  <c r="F252" i="2"/>
  <c r="E253" i="2"/>
  <c r="F253" i="2"/>
  <c r="E254" i="2"/>
  <c r="F254" i="2"/>
  <c r="E255" i="2"/>
  <c r="F255" i="2"/>
  <c r="G255" i="2"/>
  <c r="D255" i="2" s="1"/>
  <c r="E256" i="2"/>
  <c r="F256" i="2"/>
  <c r="E257" i="2"/>
  <c r="F257" i="2"/>
  <c r="E258" i="2"/>
  <c r="F258" i="2"/>
  <c r="E259" i="2"/>
  <c r="F259" i="2"/>
  <c r="E260" i="2"/>
  <c r="F260" i="2"/>
  <c r="E261" i="2"/>
  <c r="F261" i="2"/>
  <c r="F250" i="2"/>
  <c r="E250" i="2"/>
  <c r="F238" i="2"/>
  <c r="F239" i="2"/>
  <c r="F240" i="2"/>
  <c r="F241" i="2"/>
  <c r="F242" i="2"/>
  <c r="F243" i="2"/>
  <c r="F244" i="2"/>
  <c r="F245" i="2"/>
  <c r="F246" i="2"/>
  <c r="F247" i="2"/>
  <c r="F248" i="2"/>
  <c r="F220" i="2"/>
  <c r="E220" i="2"/>
  <c r="F219" i="2"/>
  <c r="E219" i="2"/>
  <c r="F218" i="2"/>
  <c r="E218" i="2"/>
  <c r="F217" i="2"/>
  <c r="E217" i="2"/>
  <c r="F216" i="2"/>
  <c r="E216" i="2"/>
  <c r="F215" i="2"/>
  <c r="E215" i="2"/>
  <c r="F214" i="2"/>
  <c r="E214" i="2"/>
  <c r="F213" i="2"/>
  <c r="E213" i="2"/>
  <c r="F212" i="2"/>
  <c r="E212" i="2"/>
  <c r="F211" i="2"/>
  <c r="E211" i="2"/>
  <c r="F210" i="2"/>
  <c r="E210" i="2"/>
  <c r="F209" i="2"/>
  <c r="E209" i="2"/>
  <c r="E222" i="2"/>
  <c r="F222" i="2"/>
  <c r="E223" i="2"/>
  <c r="F223" i="2"/>
  <c r="E224" i="2"/>
  <c r="F224" i="2"/>
  <c r="E225" i="2"/>
  <c r="F225" i="2"/>
  <c r="E226" i="2"/>
  <c r="F226" i="2"/>
  <c r="E227" i="2"/>
  <c r="F227" i="2"/>
  <c r="E228" i="2"/>
  <c r="F228" i="2"/>
  <c r="E229" i="2"/>
  <c r="F229" i="2"/>
  <c r="E230" i="2"/>
  <c r="F230" i="2"/>
  <c r="E231" i="2"/>
  <c r="F231" i="2"/>
  <c r="E232" i="2"/>
  <c r="F232" i="2"/>
  <c r="F233" i="2"/>
  <c r="E233" i="2"/>
  <c r="F237" i="2"/>
  <c r="G239" i="2"/>
  <c r="D239" i="2" s="1"/>
  <c r="G241" i="2"/>
  <c r="D241" i="2" s="1"/>
  <c r="G243" i="2"/>
  <c r="D243" i="2" s="1"/>
  <c r="G233" i="2"/>
  <c r="D233" i="2" s="1"/>
  <c r="G232" i="2"/>
  <c r="D232" i="2" s="1"/>
  <c r="G231" i="2"/>
  <c r="D231" i="2" s="1"/>
  <c r="G230" i="2"/>
  <c r="D230" i="2" s="1"/>
  <c r="G229" i="2"/>
  <c r="D229" i="2" s="1"/>
  <c r="G228" i="2"/>
  <c r="D228" i="2" s="1"/>
  <c r="G227" i="2"/>
  <c r="D227" i="2" s="1"/>
  <c r="G226" i="2"/>
  <c r="D226" i="2" s="1"/>
  <c r="G225" i="2"/>
  <c r="D225" i="2" s="1"/>
  <c r="G224" i="2"/>
  <c r="D224" i="2" s="1"/>
  <c r="G223" i="2"/>
  <c r="D223" i="2" s="1"/>
  <c r="G222" i="2"/>
  <c r="D222" i="2" s="1"/>
  <c r="G974" i="2"/>
  <c r="D974" i="2" s="1"/>
  <c r="F1141" i="2"/>
  <c r="F1127" i="2"/>
  <c r="F1069" i="2"/>
  <c r="F1043" i="2"/>
  <c r="F951" i="2"/>
  <c r="F798" i="2"/>
  <c r="F1137" i="2"/>
  <c r="F1136" i="2"/>
  <c r="F1135" i="2"/>
  <c r="F1134" i="2"/>
  <c r="F1133" i="2"/>
  <c r="F1132" i="2"/>
  <c r="F1131" i="2"/>
  <c r="F1099" i="2"/>
  <c r="F1098" i="2"/>
  <c r="F1077" i="2"/>
  <c r="F1085" i="2"/>
  <c r="F1083" i="2"/>
  <c r="F1081" i="2"/>
  <c r="F1079" i="2"/>
  <c r="G1104" i="2"/>
  <c r="D1104" i="2" s="1"/>
  <c r="G1103" i="2"/>
  <c r="D1103" i="2" s="1"/>
  <c r="G1106" i="2"/>
  <c r="D1106" i="2" s="1"/>
  <c r="G1075" i="2"/>
  <c r="D1075" i="2" s="1"/>
  <c r="G1047" i="2"/>
  <c r="D1047" i="2" s="1"/>
  <c r="G1012" i="2"/>
  <c r="D1012" i="2" s="1"/>
  <c r="G1015" i="2"/>
  <c r="D1015" i="2" s="1"/>
  <c r="F979" i="2"/>
  <c r="F976" i="2"/>
  <c r="F1006" i="2"/>
  <c r="G976" i="2"/>
  <c r="D976" i="2" s="1"/>
  <c r="D991" i="2"/>
  <c r="G994" i="2"/>
  <c r="D994" i="2" s="1"/>
  <c r="G997" i="2"/>
  <c r="D997" i="2" s="1"/>
  <c r="F941" i="2"/>
  <c r="G910" i="2"/>
  <c r="D910" i="2" s="1"/>
  <c r="G913" i="2"/>
  <c r="D913" i="2" s="1"/>
  <c r="G925" i="2"/>
  <c r="D925" i="2" s="1"/>
  <c r="G931" i="2"/>
  <c r="D931" i="2" s="1"/>
  <c r="G871" i="2"/>
  <c r="D871" i="2" s="1"/>
  <c r="G874" i="2"/>
  <c r="D874" i="2" s="1"/>
  <c r="G877" i="2"/>
  <c r="D877" i="2" s="1"/>
  <c r="G889" i="2"/>
  <c r="D889" i="2" s="1"/>
  <c r="G895" i="2"/>
  <c r="D895" i="2" s="1"/>
  <c r="F955" i="2"/>
  <c r="F963" i="2"/>
  <c r="F867" i="2"/>
  <c r="G833" i="2"/>
  <c r="D833" i="2" s="1"/>
  <c r="G836" i="2"/>
  <c r="D836" i="2" s="1"/>
  <c r="G839" i="2"/>
  <c r="D839" i="2" s="1"/>
  <c r="G851" i="2"/>
  <c r="D851" i="2" s="1"/>
  <c r="G857" i="2"/>
  <c r="D857" i="2" s="1"/>
  <c r="G797" i="2"/>
  <c r="D797" i="2" s="1"/>
  <c r="F797" i="2"/>
  <c r="G250" i="2"/>
  <c r="D250" i="2" s="1"/>
  <c r="F540" i="2"/>
  <c r="E238" i="2"/>
  <c r="E239" i="2"/>
  <c r="E240" i="2"/>
  <c r="E241" i="2"/>
  <c r="E242" i="2"/>
  <c r="E243" i="2"/>
  <c r="E244" i="2"/>
  <c r="E245" i="2"/>
  <c r="E246" i="2"/>
  <c r="E247" i="2"/>
  <c r="E248" i="2"/>
  <c r="E237" i="2"/>
  <c r="G220" i="2"/>
  <c r="D220" i="2" s="1"/>
  <c r="G219" i="2"/>
  <c r="D219" i="2" s="1"/>
  <c r="G218" i="2"/>
  <c r="D218" i="2" s="1"/>
  <c r="G217" i="2"/>
  <c r="D217" i="2" s="1"/>
  <c r="G216" i="2"/>
  <c r="D216" i="2" s="1"/>
  <c r="G215" i="2"/>
  <c r="D215" i="2" s="1"/>
  <c r="G214" i="2"/>
  <c r="D214" i="2" s="1"/>
  <c r="G213" i="2"/>
  <c r="D213" i="2" s="1"/>
  <c r="G212" i="2"/>
  <c r="D212" i="2" s="1"/>
  <c r="G211" i="2"/>
  <c r="D211" i="2" s="1"/>
  <c r="G210" i="2"/>
  <c r="D210" i="2" s="1"/>
  <c r="G209" i="2"/>
  <c r="D209" i="2" s="1"/>
  <c r="B38" i="2"/>
  <c r="G164" i="3"/>
  <c r="H161" i="5"/>
  <c r="G88" i="4"/>
  <c r="H189" i="3"/>
  <c r="R7" i="10"/>
  <c r="C83" i="9"/>
  <c r="C67" i="9"/>
  <c r="C59" i="9"/>
  <c r="C51" i="9"/>
  <c r="C27" i="9"/>
  <c r="C14" i="5"/>
  <c r="C13" i="5"/>
  <c r="C12" i="5"/>
  <c r="C11" i="5"/>
  <c r="C10" i="5"/>
  <c r="C14" i="4"/>
  <c r="C13" i="4"/>
  <c r="C12" i="4"/>
  <c r="C11" i="4"/>
  <c r="C17" i="4"/>
  <c r="R9" i="10"/>
  <c r="R5" i="10"/>
  <c r="F41" i="9"/>
  <c r="G41" i="9"/>
  <c r="G49" i="9"/>
  <c r="F49" i="9"/>
  <c r="D19" i="3"/>
  <c r="D17" i="3"/>
  <c r="D18" i="3"/>
  <c r="J793" i="2"/>
  <c r="G793" i="2" s="1"/>
  <c r="D793" i="2" s="1"/>
  <c r="J792" i="2"/>
  <c r="G792" i="2" s="1"/>
  <c r="D792" i="2" s="1"/>
  <c r="J791" i="2"/>
  <c r="G791" i="2" s="1"/>
  <c r="D791" i="2" s="1"/>
  <c r="J790" i="2"/>
  <c r="G790" i="2" s="1"/>
  <c r="D790" i="2" s="1"/>
  <c r="J789" i="2"/>
  <c r="G789" i="2" s="1"/>
  <c r="D789" i="2" s="1"/>
  <c r="J788" i="2"/>
  <c r="G788" i="2" s="1"/>
  <c r="D788" i="2" s="1"/>
  <c r="J787" i="2"/>
  <c r="G787" i="2" s="1"/>
  <c r="D787" i="2" s="1"/>
  <c r="J786" i="2"/>
  <c r="J785" i="2"/>
  <c r="G785" i="2" s="1"/>
  <c r="D785" i="2" s="1"/>
  <c r="J784" i="2"/>
  <c r="F784" i="2" s="1"/>
  <c r="B783" i="2"/>
  <c r="J782" i="2"/>
  <c r="G782" i="2" s="1"/>
  <c r="D782" i="2" s="1"/>
  <c r="J781" i="2"/>
  <c r="G781" i="2" s="1"/>
  <c r="D781" i="2" s="1"/>
  <c r="J780" i="2"/>
  <c r="G780" i="2" s="1"/>
  <c r="D780" i="2" s="1"/>
  <c r="J779" i="2"/>
  <c r="G779" i="2" s="1"/>
  <c r="D779" i="2" s="1"/>
  <c r="J778" i="2"/>
  <c r="G778" i="2" s="1"/>
  <c r="D778" i="2" s="1"/>
  <c r="J777" i="2"/>
  <c r="G777" i="2" s="1"/>
  <c r="D777" i="2" s="1"/>
  <c r="J776" i="2"/>
  <c r="J775" i="2"/>
  <c r="G775" i="2" s="1"/>
  <c r="D775" i="2" s="1"/>
  <c r="J774" i="2"/>
  <c r="G774" i="2" s="1"/>
  <c r="D774" i="2" s="1"/>
  <c r="J773" i="2"/>
  <c r="B772" i="2"/>
  <c r="J661" i="2"/>
  <c r="G661" i="2" s="1"/>
  <c r="D661" i="2" s="1"/>
  <c r="J660" i="2"/>
  <c r="G660" i="2" s="1"/>
  <c r="D660" i="2" s="1"/>
  <c r="J659" i="2"/>
  <c r="G659" i="2" s="1"/>
  <c r="D659" i="2" s="1"/>
  <c r="J658" i="2"/>
  <c r="G658" i="2" s="1"/>
  <c r="D658" i="2" s="1"/>
  <c r="J657" i="2"/>
  <c r="G657" i="2" s="1"/>
  <c r="D657" i="2" s="1"/>
  <c r="J656" i="2"/>
  <c r="G656" i="2" s="1"/>
  <c r="D656" i="2" s="1"/>
  <c r="J655" i="2"/>
  <c r="G655" i="2" s="1"/>
  <c r="D655" i="2" s="1"/>
  <c r="J654" i="2"/>
  <c r="G654" i="2" s="1"/>
  <c r="D654" i="2" s="1"/>
  <c r="J653" i="2"/>
  <c r="G653" i="2" s="1"/>
  <c r="D653" i="2" s="1"/>
  <c r="J652" i="2"/>
  <c r="N662" i="2" s="1"/>
  <c r="B651" i="2"/>
  <c r="B662" i="2"/>
  <c r="J663" i="2"/>
  <c r="K673" i="2" s="1"/>
  <c r="J664" i="2"/>
  <c r="G664" i="2" s="1"/>
  <c r="D664" i="2" s="1"/>
  <c r="J665" i="2"/>
  <c r="G665" i="2" s="1"/>
  <c r="D665" i="2" s="1"/>
  <c r="J666" i="2"/>
  <c r="G666" i="2" s="1"/>
  <c r="D666" i="2" s="1"/>
  <c r="J667" i="2"/>
  <c r="G667" i="2" s="1"/>
  <c r="D667" i="2" s="1"/>
  <c r="J668" i="2"/>
  <c r="G668" i="2" s="1"/>
  <c r="D668" i="2" s="1"/>
  <c r="J669" i="2"/>
  <c r="G669" i="2" s="1"/>
  <c r="D669" i="2" s="1"/>
  <c r="J670" i="2"/>
  <c r="G670" i="2" s="1"/>
  <c r="D670" i="2" s="1"/>
  <c r="J671" i="2"/>
  <c r="J672" i="2"/>
  <c r="G672" i="2" s="1"/>
  <c r="D672" i="2" s="1"/>
  <c r="J650" i="2"/>
  <c r="G650" i="2" s="1"/>
  <c r="D650" i="2" s="1"/>
  <c r="J649" i="2"/>
  <c r="G649" i="2" s="1"/>
  <c r="D649" i="2" s="1"/>
  <c r="J648" i="2"/>
  <c r="G648" i="2" s="1"/>
  <c r="D648" i="2" s="1"/>
  <c r="J647" i="2"/>
  <c r="G647" i="2" s="1"/>
  <c r="D647" i="2" s="1"/>
  <c r="J646" i="2"/>
  <c r="G646" i="2" s="1"/>
  <c r="D646" i="2" s="1"/>
  <c r="J645" i="2"/>
  <c r="G645" i="2" s="1"/>
  <c r="D645" i="2" s="1"/>
  <c r="J644" i="2"/>
  <c r="G644" i="2" s="1"/>
  <c r="D644" i="2" s="1"/>
  <c r="J643" i="2"/>
  <c r="G643" i="2" s="1"/>
  <c r="D643" i="2" s="1"/>
  <c r="J642" i="2"/>
  <c r="F642" i="2" s="1"/>
  <c r="J641" i="2"/>
  <c r="G641" i="2" s="1"/>
  <c r="D641" i="2" s="1"/>
  <c r="B640" i="2"/>
  <c r="B596" i="2"/>
  <c r="K527" i="2"/>
  <c r="G527" i="2" s="1"/>
  <c r="D527" i="2" s="1"/>
  <c r="K526" i="2"/>
  <c r="G526" i="2" s="1"/>
  <c r="D526" i="2" s="1"/>
  <c r="K525" i="2"/>
  <c r="F525" i="2" s="1"/>
  <c r="K524" i="2"/>
  <c r="F524" i="2" s="1"/>
  <c r="K523" i="2"/>
  <c r="F523" i="2" s="1"/>
  <c r="K522" i="2"/>
  <c r="F522" i="2" s="1"/>
  <c r="K521" i="2"/>
  <c r="F521" i="2" s="1"/>
  <c r="K520" i="2"/>
  <c r="F520" i="2" s="1"/>
  <c r="K519" i="2"/>
  <c r="F519" i="2" s="1"/>
  <c r="K518" i="2"/>
  <c r="G518" i="2" s="1"/>
  <c r="D518" i="2" s="1"/>
  <c r="B517" i="2"/>
  <c r="K516" i="2"/>
  <c r="G516" i="2" s="1"/>
  <c r="D516" i="2" s="1"/>
  <c r="K515" i="2"/>
  <c r="G515" i="2" s="1"/>
  <c r="D515" i="2" s="1"/>
  <c r="K514" i="2"/>
  <c r="F514" i="2" s="1"/>
  <c r="K513" i="2"/>
  <c r="F513" i="2" s="1"/>
  <c r="K512" i="2"/>
  <c r="F512" i="2" s="1"/>
  <c r="K511" i="2"/>
  <c r="F511" i="2" s="1"/>
  <c r="K510" i="2"/>
  <c r="F510" i="2" s="1"/>
  <c r="K509" i="2"/>
  <c r="F509" i="2" s="1"/>
  <c r="K508" i="2"/>
  <c r="F508" i="2" s="1"/>
  <c r="K507" i="2"/>
  <c r="F507" i="2" s="1"/>
  <c r="B506" i="2"/>
  <c r="K395" i="2"/>
  <c r="G395" i="2" s="1"/>
  <c r="D395" i="2" s="1"/>
  <c r="K394" i="2"/>
  <c r="G394" i="2" s="1"/>
  <c r="D394" i="2" s="1"/>
  <c r="K393" i="2"/>
  <c r="F393" i="2" s="1"/>
  <c r="K392" i="2"/>
  <c r="K391" i="2"/>
  <c r="G391" i="2" s="1"/>
  <c r="D391" i="2" s="1"/>
  <c r="K390" i="2"/>
  <c r="F390" i="2" s="1"/>
  <c r="K389" i="2"/>
  <c r="F389" i="2" s="1"/>
  <c r="K388" i="2"/>
  <c r="F388" i="2" s="1"/>
  <c r="K387" i="2"/>
  <c r="F387" i="2" s="1"/>
  <c r="K386" i="2"/>
  <c r="G386" i="2" s="1"/>
  <c r="D386" i="2" s="1"/>
  <c r="B385" i="2"/>
  <c r="K384" i="2"/>
  <c r="G384" i="2" s="1"/>
  <c r="D384" i="2" s="1"/>
  <c r="K383" i="2"/>
  <c r="G383" i="2" s="1"/>
  <c r="D383" i="2" s="1"/>
  <c r="K382" i="2"/>
  <c r="F382" i="2" s="1"/>
  <c r="K381" i="2"/>
  <c r="F381" i="2" s="1"/>
  <c r="K380" i="2"/>
  <c r="F380" i="2" s="1"/>
  <c r="K379" i="2"/>
  <c r="F379" i="2" s="1"/>
  <c r="K378" i="2"/>
  <c r="F378" i="2" s="1"/>
  <c r="K377" i="2"/>
  <c r="F377" i="2" s="1"/>
  <c r="K376" i="2"/>
  <c r="F376" i="2" s="1"/>
  <c r="K375" i="2"/>
  <c r="F375" i="2" s="1"/>
  <c r="B374" i="2"/>
  <c r="B396" i="2"/>
  <c r="B199" i="2"/>
  <c r="B192" i="2"/>
  <c r="B115" i="2"/>
  <c r="B108" i="2"/>
  <c r="B80" i="2"/>
  <c r="J586" i="2"/>
  <c r="F586" i="2" s="1"/>
  <c r="J760" i="2"/>
  <c r="G760" i="2" s="1"/>
  <c r="D760" i="2" s="1"/>
  <c r="J759" i="2"/>
  <c r="G759" i="2" s="1"/>
  <c r="D759" i="2" s="1"/>
  <c r="J740" i="2"/>
  <c r="G740" i="2" s="1"/>
  <c r="D740" i="2" s="1"/>
  <c r="J744" i="2"/>
  <c r="G744" i="2" s="1"/>
  <c r="D744" i="2" s="1"/>
  <c r="J631" i="2"/>
  <c r="G631" i="2" s="1"/>
  <c r="D631" i="2" s="1"/>
  <c r="J628" i="2"/>
  <c r="G628" i="2" s="1"/>
  <c r="D628" i="2" s="1"/>
  <c r="B761" i="2"/>
  <c r="B750" i="2"/>
  <c r="B739" i="2"/>
  <c r="B728" i="2"/>
  <c r="B717" i="2"/>
  <c r="B706" i="2"/>
  <c r="B695" i="2"/>
  <c r="B684" i="2"/>
  <c r="B673" i="2"/>
  <c r="B629" i="2"/>
  <c r="B618" i="2"/>
  <c r="B607" i="2"/>
  <c r="B585" i="2"/>
  <c r="B574" i="2"/>
  <c r="B563" i="2"/>
  <c r="B552" i="2"/>
  <c r="B541" i="2"/>
  <c r="B530" i="2"/>
  <c r="K372" i="2"/>
  <c r="G372" i="2" s="1"/>
  <c r="D372" i="2" s="1"/>
  <c r="K373" i="2"/>
  <c r="G373" i="2" s="1"/>
  <c r="D373" i="2" s="1"/>
  <c r="B495" i="2"/>
  <c r="B484" i="2"/>
  <c r="B473" i="2"/>
  <c r="B462" i="2"/>
  <c r="B451" i="2"/>
  <c r="B440" i="2"/>
  <c r="B429" i="2"/>
  <c r="B418" i="2"/>
  <c r="B407" i="2"/>
  <c r="B363" i="2"/>
  <c r="B352" i="2"/>
  <c r="B341" i="2"/>
  <c r="B330" i="2"/>
  <c r="B319" i="2"/>
  <c r="B308" i="2"/>
  <c r="B297" i="2"/>
  <c r="B286" i="2"/>
  <c r="B275" i="2"/>
  <c r="B264" i="2"/>
  <c r="B150" i="2"/>
  <c r="B185" i="2"/>
  <c r="B178" i="2"/>
  <c r="B171" i="2"/>
  <c r="B164" i="2"/>
  <c r="B157" i="2"/>
  <c r="B143" i="2"/>
  <c r="B136" i="2"/>
  <c r="B129" i="2"/>
  <c r="B122" i="2"/>
  <c r="B94" i="2"/>
  <c r="B87" i="2"/>
  <c r="B73" i="2"/>
  <c r="B66" i="2"/>
  <c r="B59" i="2"/>
  <c r="B52" i="2"/>
  <c r="B45" i="2"/>
  <c r="G89" i="9"/>
  <c r="F89" i="9"/>
  <c r="G81" i="9"/>
  <c r="F81" i="9"/>
  <c r="G73" i="9"/>
  <c r="F73" i="9"/>
  <c r="G65" i="9"/>
  <c r="F65" i="9"/>
  <c r="G57" i="9"/>
  <c r="F57" i="9"/>
  <c r="G33" i="9"/>
  <c r="F33" i="9"/>
  <c r="K284" i="2"/>
  <c r="G284" i="2" s="1"/>
  <c r="D284" i="2" s="1"/>
  <c r="K283" i="2"/>
  <c r="G283" i="2" s="1"/>
  <c r="D283" i="2" s="1"/>
  <c r="K282" i="2"/>
  <c r="G282" i="2" s="1"/>
  <c r="D282" i="2" s="1"/>
  <c r="J762" i="2"/>
  <c r="K772" i="2" s="1"/>
  <c r="J763" i="2"/>
  <c r="G763" i="2" s="1"/>
  <c r="D763" i="2" s="1"/>
  <c r="J764" i="2"/>
  <c r="G764" i="2" s="1"/>
  <c r="D764" i="2" s="1"/>
  <c r="J765" i="2"/>
  <c r="G765" i="2" s="1"/>
  <c r="D765" i="2" s="1"/>
  <c r="J771" i="2"/>
  <c r="G771" i="2" s="1"/>
  <c r="D771" i="2" s="1"/>
  <c r="J770" i="2"/>
  <c r="G770" i="2" s="1"/>
  <c r="D770" i="2" s="1"/>
  <c r="J769" i="2"/>
  <c r="G769" i="2" s="1"/>
  <c r="D769" i="2" s="1"/>
  <c r="J768" i="2"/>
  <c r="G768" i="2" s="1"/>
  <c r="D768" i="2" s="1"/>
  <c r="J767" i="2"/>
  <c r="G767" i="2" s="1"/>
  <c r="D767" i="2" s="1"/>
  <c r="J766" i="2"/>
  <c r="G766" i="2" s="1"/>
  <c r="D766" i="2" s="1"/>
  <c r="J751" i="2"/>
  <c r="K761" i="2" s="1"/>
  <c r="J752" i="2"/>
  <c r="G752" i="2" s="1"/>
  <c r="D752" i="2" s="1"/>
  <c r="J753" i="2"/>
  <c r="F753" i="2" s="1"/>
  <c r="J754" i="2"/>
  <c r="G754" i="2" s="1"/>
  <c r="D754" i="2" s="1"/>
  <c r="J755" i="2"/>
  <c r="G755" i="2" s="1"/>
  <c r="D755" i="2" s="1"/>
  <c r="J756" i="2"/>
  <c r="G756" i="2" s="1"/>
  <c r="D756" i="2" s="1"/>
  <c r="J757" i="2"/>
  <c r="G757" i="2" s="1"/>
  <c r="D757" i="2" s="1"/>
  <c r="J758" i="2"/>
  <c r="G758" i="2" s="1"/>
  <c r="D758" i="2" s="1"/>
  <c r="J749" i="2"/>
  <c r="G749" i="2" s="1"/>
  <c r="D749" i="2" s="1"/>
  <c r="J748" i="2"/>
  <c r="G748" i="2" s="1"/>
  <c r="D748" i="2" s="1"/>
  <c r="J747" i="2"/>
  <c r="G747" i="2" s="1"/>
  <c r="D747" i="2" s="1"/>
  <c r="J746" i="2"/>
  <c r="G746" i="2" s="1"/>
  <c r="D746" i="2" s="1"/>
  <c r="J745" i="2"/>
  <c r="G745" i="2" s="1"/>
  <c r="D745" i="2" s="1"/>
  <c r="J743" i="2"/>
  <c r="G743" i="2" s="1"/>
  <c r="D743" i="2" s="1"/>
  <c r="J742" i="2"/>
  <c r="G742" i="2" s="1"/>
  <c r="D742" i="2" s="1"/>
  <c r="J741" i="2"/>
  <c r="G741" i="2" s="1"/>
  <c r="D741" i="2" s="1"/>
  <c r="J738" i="2"/>
  <c r="G738" i="2" s="1"/>
  <c r="D738" i="2" s="1"/>
  <c r="J737" i="2"/>
  <c r="G737" i="2" s="1"/>
  <c r="D737" i="2" s="1"/>
  <c r="J736" i="2"/>
  <c r="G736" i="2" s="1"/>
  <c r="D736" i="2" s="1"/>
  <c r="J735" i="2"/>
  <c r="G735" i="2" s="1"/>
  <c r="D735" i="2" s="1"/>
  <c r="J734" i="2"/>
  <c r="G734" i="2" s="1"/>
  <c r="D734" i="2" s="1"/>
  <c r="J733" i="2"/>
  <c r="G733" i="2" s="1"/>
  <c r="D733" i="2" s="1"/>
  <c r="J732" i="2"/>
  <c r="F732" i="2" s="1"/>
  <c r="J731" i="2"/>
  <c r="G731" i="2" s="1"/>
  <c r="D731" i="2" s="1"/>
  <c r="J730" i="2"/>
  <c r="F730" i="2" s="1"/>
  <c r="J729" i="2"/>
  <c r="G729" i="2" s="1"/>
  <c r="D729" i="2" s="1"/>
  <c r="J727" i="2"/>
  <c r="G727" i="2" s="1"/>
  <c r="D727" i="2" s="1"/>
  <c r="J726" i="2"/>
  <c r="G726" i="2" s="1"/>
  <c r="D726" i="2" s="1"/>
  <c r="J725" i="2"/>
  <c r="G725" i="2" s="1"/>
  <c r="D725" i="2" s="1"/>
  <c r="J724" i="2"/>
  <c r="G724" i="2" s="1"/>
  <c r="D724" i="2" s="1"/>
  <c r="J723" i="2"/>
  <c r="G723" i="2" s="1"/>
  <c r="D723" i="2" s="1"/>
  <c r="J722" i="2"/>
  <c r="G722" i="2" s="1"/>
  <c r="D722" i="2" s="1"/>
  <c r="J721" i="2"/>
  <c r="F721" i="2" s="1"/>
  <c r="J720" i="2"/>
  <c r="G720" i="2" s="1"/>
  <c r="D720" i="2" s="1"/>
  <c r="J719" i="2"/>
  <c r="F719" i="2" s="1"/>
  <c r="J718" i="2"/>
  <c r="G718" i="2" s="1"/>
  <c r="D718" i="2" s="1"/>
  <c r="J716" i="2"/>
  <c r="G716" i="2" s="1"/>
  <c r="D716" i="2" s="1"/>
  <c r="J715" i="2"/>
  <c r="G715" i="2" s="1"/>
  <c r="D715" i="2" s="1"/>
  <c r="J714" i="2"/>
  <c r="G714" i="2" s="1"/>
  <c r="D714" i="2" s="1"/>
  <c r="J713" i="2"/>
  <c r="G713" i="2" s="1"/>
  <c r="D713" i="2" s="1"/>
  <c r="J712" i="2"/>
  <c r="G712" i="2" s="1"/>
  <c r="D712" i="2" s="1"/>
  <c r="J711" i="2"/>
  <c r="G711" i="2" s="1"/>
  <c r="D711" i="2" s="1"/>
  <c r="J710" i="2"/>
  <c r="G710" i="2" s="1"/>
  <c r="D710" i="2" s="1"/>
  <c r="J709" i="2"/>
  <c r="G709" i="2" s="1"/>
  <c r="D709" i="2" s="1"/>
  <c r="J708" i="2"/>
  <c r="F708" i="2" s="1"/>
  <c r="J707" i="2"/>
  <c r="G707" i="2" s="1"/>
  <c r="D707" i="2" s="1"/>
  <c r="J705" i="2"/>
  <c r="G705" i="2" s="1"/>
  <c r="D705" i="2" s="1"/>
  <c r="J704" i="2"/>
  <c r="G704" i="2" s="1"/>
  <c r="D704" i="2" s="1"/>
  <c r="J703" i="2"/>
  <c r="G703" i="2" s="1"/>
  <c r="D703" i="2" s="1"/>
  <c r="J702" i="2"/>
  <c r="G702" i="2" s="1"/>
  <c r="D702" i="2" s="1"/>
  <c r="J701" i="2"/>
  <c r="G701" i="2" s="1"/>
  <c r="D701" i="2" s="1"/>
  <c r="J700" i="2"/>
  <c r="G700" i="2" s="1"/>
  <c r="D700" i="2" s="1"/>
  <c r="J699" i="2"/>
  <c r="G699" i="2" s="1"/>
  <c r="D699" i="2" s="1"/>
  <c r="J698" i="2"/>
  <c r="G698" i="2" s="1"/>
  <c r="D698" i="2" s="1"/>
  <c r="J697" i="2"/>
  <c r="F697" i="2" s="1"/>
  <c r="J696" i="2"/>
  <c r="G696" i="2" s="1"/>
  <c r="D696" i="2" s="1"/>
  <c r="J694" i="2"/>
  <c r="G694" i="2" s="1"/>
  <c r="D694" i="2" s="1"/>
  <c r="J693" i="2"/>
  <c r="G693" i="2" s="1"/>
  <c r="D693" i="2" s="1"/>
  <c r="J692" i="2"/>
  <c r="G692" i="2" s="1"/>
  <c r="D692" i="2" s="1"/>
  <c r="J691" i="2"/>
  <c r="G691" i="2" s="1"/>
  <c r="D691" i="2" s="1"/>
  <c r="J690" i="2"/>
  <c r="G690" i="2" s="1"/>
  <c r="D690" i="2" s="1"/>
  <c r="J689" i="2"/>
  <c r="G689" i="2" s="1"/>
  <c r="D689" i="2" s="1"/>
  <c r="J688" i="2"/>
  <c r="G688" i="2" s="1"/>
  <c r="D688" i="2" s="1"/>
  <c r="J687" i="2"/>
  <c r="G687" i="2" s="1"/>
  <c r="D687" i="2" s="1"/>
  <c r="J686" i="2"/>
  <c r="F686" i="2" s="1"/>
  <c r="J685" i="2"/>
  <c r="G685" i="2" s="1"/>
  <c r="D685" i="2" s="1"/>
  <c r="J683" i="2"/>
  <c r="G683" i="2" s="1"/>
  <c r="D683" i="2" s="1"/>
  <c r="J682" i="2"/>
  <c r="G682" i="2" s="1"/>
  <c r="D682" i="2" s="1"/>
  <c r="J681" i="2"/>
  <c r="G681" i="2" s="1"/>
  <c r="D681" i="2" s="1"/>
  <c r="J680" i="2"/>
  <c r="G680" i="2" s="1"/>
  <c r="D680" i="2" s="1"/>
  <c r="J679" i="2"/>
  <c r="G679" i="2" s="1"/>
  <c r="D679" i="2" s="1"/>
  <c r="J678" i="2"/>
  <c r="G678" i="2" s="1"/>
  <c r="D678" i="2" s="1"/>
  <c r="J677" i="2"/>
  <c r="G677" i="2" s="1"/>
  <c r="D677" i="2" s="1"/>
  <c r="J676" i="2"/>
  <c r="G676" i="2" s="1"/>
  <c r="D676" i="2" s="1"/>
  <c r="J675" i="2"/>
  <c r="F675" i="2" s="1"/>
  <c r="J674" i="2"/>
  <c r="G674" i="2" s="1"/>
  <c r="D674" i="2" s="1"/>
  <c r="J630" i="2"/>
  <c r="F630" i="2" s="1"/>
  <c r="J632" i="2"/>
  <c r="G632" i="2" s="1"/>
  <c r="D632" i="2" s="1"/>
  <c r="J633" i="2"/>
  <c r="G633" i="2" s="1"/>
  <c r="D633" i="2" s="1"/>
  <c r="J634" i="2"/>
  <c r="G634" i="2" s="1"/>
  <c r="D634" i="2" s="1"/>
  <c r="J635" i="2"/>
  <c r="G635" i="2" s="1"/>
  <c r="D635" i="2" s="1"/>
  <c r="J639" i="2"/>
  <c r="G639" i="2" s="1"/>
  <c r="D639" i="2" s="1"/>
  <c r="J638" i="2"/>
  <c r="G638" i="2" s="1"/>
  <c r="D638" i="2" s="1"/>
  <c r="J637" i="2"/>
  <c r="G637" i="2" s="1"/>
  <c r="D637" i="2" s="1"/>
  <c r="J636" i="2"/>
  <c r="G636" i="2" s="1"/>
  <c r="D636" i="2" s="1"/>
  <c r="J625" i="2"/>
  <c r="G625" i="2" s="1"/>
  <c r="D625" i="2" s="1"/>
  <c r="J626" i="2"/>
  <c r="G626" i="2" s="1"/>
  <c r="D626" i="2" s="1"/>
  <c r="J627" i="2"/>
  <c r="G627" i="2" s="1"/>
  <c r="D627" i="2" s="1"/>
  <c r="J624" i="2"/>
  <c r="G624" i="2" s="1"/>
  <c r="D624" i="2" s="1"/>
  <c r="J623" i="2"/>
  <c r="G623" i="2" s="1"/>
  <c r="D623" i="2" s="1"/>
  <c r="J622" i="2"/>
  <c r="G622" i="2" s="1"/>
  <c r="D622" i="2" s="1"/>
  <c r="J621" i="2"/>
  <c r="G621" i="2" s="1"/>
  <c r="D621" i="2" s="1"/>
  <c r="J620" i="2"/>
  <c r="F620" i="2" s="1"/>
  <c r="J619" i="2"/>
  <c r="G619" i="2" s="1"/>
  <c r="D619" i="2" s="1"/>
  <c r="J617" i="2"/>
  <c r="G617" i="2" s="1"/>
  <c r="D617" i="2" s="1"/>
  <c r="J616" i="2"/>
  <c r="G616" i="2" s="1"/>
  <c r="D616" i="2" s="1"/>
  <c r="J615" i="2"/>
  <c r="G615" i="2" s="1"/>
  <c r="D615" i="2" s="1"/>
  <c r="J614" i="2"/>
  <c r="G614" i="2" s="1"/>
  <c r="D614" i="2" s="1"/>
  <c r="J613" i="2"/>
  <c r="G613" i="2" s="1"/>
  <c r="D613" i="2" s="1"/>
  <c r="J612" i="2"/>
  <c r="G612" i="2" s="1"/>
  <c r="D612" i="2" s="1"/>
  <c r="J611" i="2"/>
  <c r="G611" i="2" s="1"/>
  <c r="D611" i="2" s="1"/>
  <c r="J610" i="2"/>
  <c r="G610" i="2" s="1"/>
  <c r="D610" i="2" s="1"/>
  <c r="J609" i="2"/>
  <c r="F609" i="2" s="1"/>
  <c r="J608" i="2"/>
  <c r="G608" i="2" s="1"/>
  <c r="D608" i="2" s="1"/>
  <c r="J606" i="2"/>
  <c r="G606" i="2" s="1"/>
  <c r="D606" i="2" s="1"/>
  <c r="J605" i="2"/>
  <c r="G605" i="2" s="1"/>
  <c r="D605" i="2" s="1"/>
  <c r="J604" i="2"/>
  <c r="G604" i="2" s="1"/>
  <c r="D604" i="2" s="1"/>
  <c r="J603" i="2"/>
  <c r="G603" i="2" s="1"/>
  <c r="D603" i="2" s="1"/>
  <c r="J602" i="2"/>
  <c r="G602" i="2" s="1"/>
  <c r="D602" i="2" s="1"/>
  <c r="J601" i="2"/>
  <c r="G601" i="2" s="1"/>
  <c r="D601" i="2" s="1"/>
  <c r="J600" i="2"/>
  <c r="G600" i="2" s="1"/>
  <c r="D600" i="2" s="1"/>
  <c r="J599" i="2"/>
  <c r="G599" i="2" s="1"/>
  <c r="D599" i="2" s="1"/>
  <c r="J598" i="2"/>
  <c r="F598" i="2" s="1"/>
  <c r="J597" i="2"/>
  <c r="G597" i="2" s="1"/>
  <c r="D597" i="2" s="1"/>
  <c r="J595" i="2"/>
  <c r="G595" i="2" s="1"/>
  <c r="D595" i="2" s="1"/>
  <c r="J594" i="2"/>
  <c r="G594" i="2" s="1"/>
  <c r="D594" i="2" s="1"/>
  <c r="J593" i="2"/>
  <c r="G593" i="2" s="1"/>
  <c r="D593" i="2" s="1"/>
  <c r="J592" i="2"/>
  <c r="G592" i="2" s="1"/>
  <c r="D592" i="2" s="1"/>
  <c r="J591" i="2"/>
  <c r="G591" i="2" s="1"/>
  <c r="D591" i="2" s="1"/>
  <c r="J590" i="2"/>
  <c r="G590" i="2" s="1"/>
  <c r="D590" i="2" s="1"/>
  <c r="J589" i="2"/>
  <c r="G589" i="2" s="1"/>
  <c r="D589" i="2" s="1"/>
  <c r="J588" i="2"/>
  <c r="G588" i="2" s="1"/>
  <c r="D588" i="2" s="1"/>
  <c r="J587" i="2"/>
  <c r="F587" i="2" s="1"/>
  <c r="J584" i="2"/>
  <c r="G584" i="2" s="1"/>
  <c r="D584" i="2" s="1"/>
  <c r="J583" i="2"/>
  <c r="G583" i="2" s="1"/>
  <c r="D583" i="2" s="1"/>
  <c r="J582" i="2"/>
  <c r="G582" i="2" s="1"/>
  <c r="D582" i="2" s="1"/>
  <c r="J581" i="2"/>
  <c r="G581" i="2" s="1"/>
  <c r="D581" i="2" s="1"/>
  <c r="J580" i="2"/>
  <c r="G580" i="2" s="1"/>
  <c r="D580" i="2" s="1"/>
  <c r="J579" i="2"/>
  <c r="G579" i="2" s="1"/>
  <c r="D579" i="2" s="1"/>
  <c r="J578" i="2"/>
  <c r="G578" i="2" s="1"/>
  <c r="D578" i="2" s="1"/>
  <c r="J577" i="2"/>
  <c r="G577" i="2" s="1"/>
  <c r="D577" i="2" s="1"/>
  <c r="J576" i="2"/>
  <c r="G576" i="2" s="1"/>
  <c r="D576" i="2" s="1"/>
  <c r="J575" i="2"/>
  <c r="G575" i="2" s="1"/>
  <c r="D575" i="2" s="1"/>
  <c r="J573" i="2"/>
  <c r="G573" i="2" s="1"/>
  <c r="D573" i="2" s="1"/>
  <c r="J572" i="2"/>
  <c r="G572" i="2" s="1"/>
  <c r="D572" i="2" s="1"/>
  <c r="J571" i="2"/>
  <c r="G571" i="2" s="1"/>
  <c r="D571" i="2" s="1"/>
  <c r="J570" i="2"/>
  <c r="G570" i="2" s="1"/>
  <c r="D570" i="2" s="1"/>
  <c r="J569" i="2"/>
  <c r="G569" i="2" s="1"/>
  <c r="D569" i="2" s="1"/>
  <c r="J568" i="2"/>
  <c r="G568" i="2" s="1"/>
  <c r="D568" i="2" s="1"/>
  <c r="J567" i="2"/>
  <c r="F567" i="2" s="1"/>
  <c r="J566" i="2"/>
  <c r="F566" i="2" s="1"/>
  <c r="J565" i="2"/>
  <c r="F565" i="2" s="1"/>
  <c r="J564" i="2"/>
  <c r="K574" i="2" s="1"/>
  <c r="J562" i="2"/>
  <c r="G562" i="2" s="1"/>
  <c r="D562" i="2" s="1"/>
  <c r="J561" i="2"/>
  <c r="G561" i="2" s="1"/>
  <c r="D561" i="2" s="1"/>
  <c r="J560" i="2"/>
  <c r="G560" i="2" s="1"/>
  <c r="D560" i="2" s="1"/>
  <c r="J559" i="2"/>
  <c r="G559" i="2" s="1"/>
  <c r="D559" i="2" s="1"/>
  <c r="J558" i="2"/>
  <c r="G558" i="2" s="1"/>
  <c r="D558" i="2" s="1"/>
  <c r="J557" i="2"/>
  <c r="G557" i="2" s="1"/>
  <c r="D557" i="2" s="1"/>
  <c r="J556" i="2"/>
  <c r="F556" i="2" s="1"/>
  <c r="J555" i="2"/>
  <c r="F555" i="2" s="1"/>
  <c r="J554" i="2"/>
  <c r="F554" i="2" s="1"/>
  <c r="J553" i="2"/>
  <c r="J551" i="2"/>
  <c r="G551" i="2" s="1"/>
  <c r="D551" i="2" s="1"/>
  <c r="J550" i="2"/>
  <c r="G550" i="2" s="1"/>
  <c r="D550" i="2" s="1"/>
  <c r="J549" i="2"/>
  <c r="G549" i="2" s="1"/>
  <c r="D549" i="2" s="1"/>
  <c r="J548" i="2"/>
  <c r="G548" i="2" s="1"/>
  <c r="D548" i="2" s="1"/>
  <c r="J547" i="2"/>
  <c r="G547" i="2" s="1"/>
  <c r="D547" i="2" s="1"/>
  <c r="J546" i="2"/>
  <c r="G546" i="2" s="1"/>
  <c r="D546" i="2" s="1"/>
  <c r="J545" i="2"/>
  <c r="F545" i="2" s="1"/>
  <c r="J544" i="2"/>
  <c r="F544" i="2" s="1"/>
  <c r="J543" i="2"/>
  <c r="F543" i="2" s="1"/>
  <c r="J542" i="2"/>
  <c r="K552" i="2" s="1"/>
  <c r="J538" i="2"/>
  <c r="G538" i="2" s="1"/>
  <c r="D538" i="2" s="1"/>
  <c r="J537" i="2"/>
  <c r="G537" i="2" s="1"/>
  <c r="D537" i="2" s="1"/>
  <c r="J536" i="2"/>
  <c r="G536" i="2" s="1"/>
  <c r="D536" i="2" s="1"/>
  <c r="J535" i="2"/>
  <c r="G535" i="2" s="1"/>
  <c r="D535" i="2" s="1"/>
  <c r="K461" i="2"/>
  <c r="G461" i="2" s="1"/>
  <c r="D461" i="2" s="1"/>
  <c r="K460" i="2"/>
  <c r="G460" i="2" s="1"/>
  <c r="D460" i="2" s="1"/>
  <c r="K459" i="2"/>
  <c r="G459" i="2" s="1"/>
  <c r="D459" i="2" s="1"/>
  <c r="K458" i="2"/>
  <c r="G458" i="2" s="1"/>
  <c r="D458" i="2" s="1"/>
  <c r="K457" i="2"/>
  <c r="G457" i="2" s="1"/>
  <c r="D457" i="2" s="1"/>
  <c r="K456" i="2"/>
  <c r="F456" i="2" s="1"/>
  <c r="K455" i="2"/>
  <c r="G455" i="2" s="1"/>
  <c r="D455" i="2" s="1"/>
  <c r="K454" i="2"/>
  <c r="F454" i="2" s="1"/>
  <c r="K453" i="2"/>
  <c r="G453" i="2" s="1"/>
  <c r="D453" i="2" s="1"/>
  <c r="K452" i="2"/>
  <c r="F452" i="2" s="1"/>
  <c r="K450" i="2"/>
  <c r="G450" i="2" s="1"/>
  <c r="D450" i="2" s="1"/>
  <c r="K449" i="2"/>
  <c r="G449" i="2" s="1"/>
  <c r="D449" i="2" s="1"/>
  <c r="K448" i="2"/>
  <c r="F448" i="2" s="1"/>
  <c r="K447" i="2"/>
  <c r="F447" i="2" s="1"/>
  <c r="K446" i="2"/>
  <c r="F446" i="2" s="1"/>
  <c r="K445" i="2"/>
  <c r="F445" i="2" s="1"/>
  <c r="K444" i="2"/>
  <c r="F444" i="2" s="1"/>
  <c r="K443" i="2"/>
  <c r="F443" i="2" s="1"/>
  <c r="K442" i="2"/>
  <c r="F442" i="2" s="1"/>
  <c r="K441" i="2"/>
  <c r="F441" i="2" s="1"/>
  <c r="K439" i="2"/>
  <c r="G439" i="2" s="1"/>
  <c r="D439" i="2" s="1"/>
  <c r="K438" i="2"/>
  <c r="G438" i="2" s="1"/>
  <c r="D438" i="2" s="1"/>
  <c r="K437" i="2"/>
  <c r="G437" i="2" s="1"/>
  <c r="D437" i="2" s="1"/>
  <c r="K436" i="2"/>
  <c r="K435" i="2"/>
  <c r="G435" i="2" s="1"/>
  <c r="D435" i="2" s="1"/>
  <c r="K434" i="2"/>
  <c r="G434" i="2" s="1"/>
  <c r="D434" i="2" s="1"/>
  <c r="K433" i="2"/>
  <c r="G433" i="2" s="1"/>
  <c r="D433" i="2" s="1"/>
  <c r="K432" i="2"/>
  <c r="G432" i="2" s="1"/>
  <c r="D432" i="2" s="1"/>
  <c r="K431" i="2"/>
  <c r="F431" i="2" s="1"/>
  <c r="K430" i="2"/>
  <c r="G430" i="2" s="1"/>
  <c r="D430" i="2" s="1"/>
  <c r="K428" i="2"/>
  <c r="G428" i="2" s="1"/>
  <c r="D428" i="2" s="1"/>
  <c r="K427" i="2"/>
  <c r="G427" i="2" s="1"/>
  <c r="D427" i="2" s="1"/>
  <c r="K426" i="2"/>
  <c r="F426" i="2" s="1"/>
  <c r="K425" i="2"/>
  <c r="F425" i="2" s="1"/>
  <c r="K424" i="2"/>
  <c r="F424" i="2" s="1"/>
  <c r="K423" i="2"/>
  <c r="F423" i="2" s="1"/>
  <c r="K422" i="2"/>
  <c r="F422" i="2" s="1"/>
  <c r="K421" i="2"/>
  <c r="F421" i="2" s="1"/>
  <c r="K420" i="2"/>
  <c r="F420" i="2" s="1"/>
  <c r="K419" i="2"/>
  <c r="F419" i="2" s="1"/>
  <c r="K417" i="2"/>
  <c r="G417" i="2" s="1"/>
  <c r="D417" i="2" s="1"/>
  <c r="K416" i="2"/>
  <c r="G416" i="2" s="1"/>
  <c r="D416" i="2" s="1"/>
  <c r="K415" i="2"/>
  <c r="F415" i="2" s="1"/>
  <c r="K414" i="2"/>
  <c r="K413" i="2"/>
  <c r="F413" i="2" s="1"/>
  <c r="K412" i="2"/>
  <c r="F412" i="2" s="1"/>
  <c r="K411" i="2"/>
  <c r="F411" i="2" s="1"/>
  <c r="K410" i="2"/>
  <c r="F410" i="2" s="1"/>
  <c r="K409" i="2"/>
  <c r="F409" i="2" s="1"/>
  <c r="K408" i="2"/>
  <c r="F408" i="2" s="1"/>
  <c r="K406" i="2"/>
  <c r="G406" i="2" s="1"/>
  <c r="D406" i="2" s="1"/>
  <c r="K405" i="2"/>
  <c r="G405" i="2" s="1"/>
  <c r="D405" i="2" s="1"/>
  <c r="K404" i="2"/>
  <c r="F404" i="2" s="1"/>
  <c r="K403" i="2"/>
  <c r="F403" i="2" s="1"/>
  <c r="K402" i="2"/>
  <c r="F402" i="2" s="1"/>
  <c r="K401" i="2"/>
  <c r="F401" i="2" s="1"/>
  <c r="K400" i="2"/>
  <c r="F400" i="2" s="1"/>
  <c r="K399" i="2"/>
  <c r="F399" i="2" s="1"/>
  <c r="K398" i="2"/>
  <c r="F398" i="2" s="1"/>
  <c r="K397" i="2"/>
  <c r="F397" i="2" s="1"/>
  <c r="K287" i="2"/>
  <c r="F287" i="2" s="1"/>
  <c r="K285" i="2"/>
  <c r="G285" i="2" s="1"/>
  <c r="D285" i="2" s="1"/>
  <c r="K281" i="2"/>
  <c r="G281" i="2" s="1"/>
  <c r="D281" i="2" s="1"/>
  <c r="K280" i="2"/>
  <c r="G280" i="2" s="1"/>
  <c r="D280" i="2" s="1"/>
  <c r="K279" i="2"/>
  <c r="G279" i="2" s="1"/>
  <c r="D279" i="2" s="1"/>
  <c r="K278" i="2"/>
  <c r="G278" i="2" s="1"/>
  <c r="D278" i="2" s="1"/>
  <c r="K340" i="2"/>
  <c r="G340" i="2" s="1"/>
  <c r="D340" i="2" s="1"/>
  <c r="K339" i="2"/>
  <c r="G339" i="2" s="1"/>
  <c r="D339" i="2" s="1"/>
  <c r="K338" i="2"/>
  <c r="F338" i="2" s="1"/>
  <c r="K337" i="2"/>
  <c r="F337" i="2" s="1"/>
  <c r="K336" i="2"/>
  <c r="F336" i="2" s="1"/>
  <c r="K335" i="2"/>
  <c r="F335" i="2" s="1"/>
  <c r="K334" i="2"/>
  <c r="F334" i="2" s="1"/>
  <c r="K333" i="2"/>
  <c r="F333" i="2" s="1"/>
  <c r="K332" i="2"/>
  <c r="F332" i="2" s="1"/>
  <c r="K331" i="2"/>
  <c r="F331" i="2" s="1"/>
  <c r="K329" i="2"/>
  <c r="G329" i="2" s="1"/>
  <c r="D329" i="2" s="1"/>
  <c r="K328" i="2"/>
  <c r="G328" i="2" s="1"/>
  <c r="D328" i="2" s="1"/>
  <c r="K327" i="2"/>
  <c r="F327" i="2" s="1"/>
  <c r="K326" i="2"/>
  <c r="G326" i="2" s="1"/>
  <c r="D326" i="2" s="1"/>
  <c r="K325" i="2"/>
  <c r="F325" i="2" s="1"/>
  <c r="K324" i="2"/>
  <c r="F324" i="2" s="1"/>
  <c r="K323" i="2"/>
  <c r="F323" i="2" s="1"/>
  <c r="K322" i="2"/>
  <c r="F322" i="2" s="1"/>
  <c r="K321" i="2"/>
  <c r="F321" i="2" s="1"/>
  <c r="K320" i="2"/>
  <c r="F320" i="2" s="1"/>
  <c r="K318" i="2"/>
  <c r="G318" i="2" s="1"/>
  <c r="D318" i="2" s="1"/>
  <c r="K317" i="2"/>
  <c r="G317" i="2" s="1"/>
  <c r="D317" i="2" s="1"/>
  <c r="K316" i="2"/>
  <c r="G316" i="2" s="1"/>
  <c r="D316" i="2" s="1"/>
  <c r="K315" i="2"/>
  <c r="G315" i="2" s="1"/>
  <c r="D315" i="2" s="1"/>
  <c r="K314" i="2"/>
  <c r="G314" i="2" s="1"/>
  <c r="D314" i="2" s="1"/>
  <c r="K313" i="2"/>
  <c r="G313" i="2" s="1"/>
  <c r="D313" i="2" s="1"/>
  <c r="K312" i="2"/>
  <c r="F312" i="2" s="1"/>
  <c r="K311" i="2"/>
  <c r="G311" i="2" s="1"/>
  <c r="D311" i="2" s="1"/>
  <c r="K310" i="2"/>
  <c r="G310" i="2" s="1"/>
  <c r="D310" i="2" s="1"/>
  <c r="K309" i="2"/>
  <c r="G309" i="2" s="1"/>
  <c r="D309" i="2" s="1"/>
  <c r="K307" i="2"/>
  <c r="G307" i="2" s="1"/>
  <c r="D307" i="2" s="1"/>
  <c r="K306" i="2"/>
  <c r="G306" i="2" s="1"/>
  <c r="D306" i="2" s="1"/>
  <c r="K305" i="2"/>
  <c r="F305" i="2" s="1"/>
  <c r="K304" i="2"/>
  <c r="K303" i="2"/>
  <c r="F303" i="2" s="1"/>
  <c r="K302" i="2"/>
  <c r="F302" i="2" s="1"/>
  <c r="K301" i="2"/>
  <c r="F301" i="2" s="1"/>
  <c r="K300" i="2"/>
  <c r="F300" i="2" s="1"/>
  <c r="K299" i="2"/>
  <c r="F299" i="2" s="1"/>
  <c r="K298" i="2"/>
  <c r="F298" i="2" s="1"/>
  <c r="K296" i="2"/>
  <c r="G296" i="2" s="1"/>
  <c r="D296" i="2" s="1"/>
  <c r="K295" i="2"/>
  <c r="G295" i="2" s="1"/>
  <c r="D295" i="2" s="1"/>
  <c r="K294" i="2"/>
  <c r="F294" i="2" s="1"/>
  <c r="K293" i="2"/>
  <c r="F293" i="2" s="1"/>
  <c r="K292" i="2"/>
  <c r="F292" i="2" s="1"/>
  <c r="K291" i="2"/>
  <c r="F291" i="2" s="1"/>
  <c r="K290" i="2"/>
  <c r="F290" i="2" s="1"/>
  <c r="K289" i="2"/>
  <c r="F289" i="2" s="1"/>
  <c r="K288" i="2"/>
  <c r="F288" i="2" s="1"/>
  <c r="K277" i="2"/>
  <c r="G277" i="2" s="1"/>
  <c r="D277" i="2" s="1"/>
  <c r="K276" i="2"/>
  <c r="K494" i="2"/>
  <c r="G494" i="2" s="1"/>
  <c r="D494" i="2" s="1"/>
  <c r="K493" i="2"/>
  <c r="G493" i="2" s="1"/>
  <c r="D493" i="2" s="1"/>
  <c r="K492" i="2"/>
  <c r="F492" i="2" s="1"/>
  <c r="K491" i="2"/>
  <c r="F491" i="2" s="1"/>
  <c r="K490" i="2"/>
  <c r="F490" i="2" s="1"/>
  <c r="K489" i="2"/>
  <c r="F489" i="2" s="1"/>
  <c r="K488" i="2"/>
  <c r="F488" i="2" s="1"/>
  <c r="K487" i="2"/>
  <c r="F487" i="2" s="1"/>
  <c r="K486" i="2"/>
  <c r="F486" i="2" s="1"/>
  <c r="K485" i="2"/>
  <c r="F485" i="2" s="1"/>
  <c r="K504" i="2"/>
  <c r="G504" i="2" s="1"/>
  <c r="D504" i="2" s="1"/>
  <c r="K503" i="2"/>
  <c r="G503" i="2" s="1"/>
  <c r="D503" i="2" s="1"/>
  <c r="K502" i="2"/>
  <c r="G502" i="2" s="1"/>
  <c r="D502" i="2" s="1"/>
  <c r="K501" i="2"/>
  <c r="G501" i="2" s="1"/>
  <c r="D501" i="2" s="1"/>
  <c r="K500" i="2"/>
  <c r="F500" i="2" s="1"/>
  <c r="K482" i="2"/>
  <c r="G482" i="2" s="1"/>
  <c r="D482" i="2" s="1"/>
  <c r="K481" i="2"/>
  <c r="F481" i="2" s="1"/>
  <c r="K480" i="2"/>
  <c r="K479" i="2"/>
  <c r="F479" i="2" s="1"/>
  <c r="K478" i="2"/>
  <c r="F478" i="2" s="1"/>
  <c r="K471" i="2"/>
  <c r="G471" i="2" s="1"/>
  <c r="D471" i="2" s="1"/>
  <c r="K470" i="2"/>
  <c r="F470" i="2" s="1"/>
  <c r="K469" i="2"/>
  <c r="F469" i="2" s="1"/>
  <c r="K468" i="2"/>
  <c r="F468" i="2" s="1"/>
  <c r="K467" i="2"/>
  <c r="F467" i="2" s="1"/>
  <c r="K361" i="2"/>
  <c r="G361" i="2" s="1"/>
  <c r="D361" i="2" s="1"/>
  <c r="K360" i="2"/>
  <c r="F360" i="2" s="1"/>
  <c r="K359" i="2"/>
  <c r="F359" i="2" s="1"/>
  <c r="K358" i="2"/>
  <c r="F358" i="2" s="1"/>
  <c r="K357" i="2"/>
  <c r="F357" i="2" s="1"/>
  <c r="K371" i="2"/>
  <c r="F371" i="2" s="1"/>
  <c r="K370" i="2"/>
  <c r="K369" i="2"/>
  <c r="F369" i="2" s="1"/>
  <c r="K368" i="2"/>
  <c r="F368" i="2" s="1"/>
  <c r="K345" i="2"/>
  <c r="F345" i="2" s="1"/>
  <c r="K350" i="2"/>
  <c r="G350" i="2" s="1"/>
  <c r="D350" i="2" s="1"/>
  <c r="K349" i="2"/>
  <c r="F349" i="2" s="1"/>
  <c r="K348" i="2"/>
  <c r="K347" i="2"/>
  <c r="F347" i="2" s="1"/>
  <c r="K273" i="2"/>
  <c r="G273" i="2" s="1"/>
  <c r="D273" i="2" s="1"/>
  <c r="K272" i="2"/>
  <c r="G272" i="2" s="1"/>
  <c r="D272" i="2" s="1"/>
  <c r="K271" i="2"/>
  <c r="G271" i="2" s="1"/>
  <c r="D271" i="2" s="1"/>
  <c r="K270" i="2"/>
  <c r="G270" i="2" s="1"/>
  <c r="D270" i="2" s="1"/>
  <c r="K269" i="2"/>
  <c r="G269" i="2" s="1"/>
  <c r="D269" i="2" s="1"/>
  <c r="K367" i="2"/>
  <c r="F367" i="2" s="1"/>
  <c r="K366" i="2"/>
  <c r="F366" i="2" s="1"/>
  <c r="K365" i="2"/>
  <c r="F365" i="2" s="1"/>
  <c r="K364" i="2"/>
  <c r="F364" i="2" s="1"/>
  <c r="J534" i="2"/>
  <c r="G534" i="2" s="1"/>
  <c r="D534" i="2" s="1"/>
  <c r="J533" i="2"/>
  <c r="F533" i="2" s="1"/>
  <c r="J532" i="2"/>
  <c r="G532" i="2" s="1"/>
  <c r="D532" i="2" s="1"/>
  <c r="K483" i="2"/>
  <c r="G483" i="2" s="1"/>
  <c r="D483" i="2" s="1"/>
  <c r="K477" i="2"/>
  <c r="F477" i="2" s="1"/>
  <c r="K476" i="2"/>
  <c r="F476" i="2" s="1"/>
  <c r="K475" i="2"/>
  <c r="F475" i="2" s="1"/>
  <c r="K474" i="2"/>
  <c r="F474" i="2" s="1"/>
  <c r="K346" i="2"/>
  <c r="F346" i="2" s="1"/>
  <c r="K344" i="2"/>
  <c r="F344" i="2" s="1"/>
  <c r="K343" i="2"/>
  <c r="F343" i="2" s="1"/>
  <c r="K342" i="2"/>
  <c r="F342" i="2" s="1"/>
  <c r="K274" i="2"/>
  <c r="G274" i="2" s="1"/>
  <c r="D274" i="2" s="1"/>
  <c r="K268" i="2"/>
  <c r="G268" i="2" s="1"/>
  <c r="D268" i="2" s="1"/>
  <c r="K267" i="2"/>
  <c r="G267" i="2" s="1"/>
  <c r="D267" i="2" s="1"/>
  <c r="K266" i="2"/>
  <c r="G266" i="2" s="1"/>
  <c r="D266" i="2" s="1"/>
  <c r="K265" i="2"/>
  <c r="G265" i="2" s="1"/>
  <c r="D265" i="2" s="1"/>
  <c r="K351" i="2"/>
  <c r="G351" i="2" s="1"/>
  <c r="D351" i="2" s="1"/>
  <c r="K499" i="2"/>
  <c r="F499" i="2" s="1"/>
  <c r="K498" i="2"/>
  <c r="G498" i="2" s="1"/>
  <c r="D498" i="2" s="1"/>
  <c r="K466" i="2"/>
  <c r="F466" i="2" s="1"/>
  <c r="K465" i="2"/>
  <c r="F465" i="2" s="1"/>
  <c r="K464" i="2"/>
  <c r="F464" i="2" s="1"/>
  <c r="K472" i="2"/>
  <c r="G472" i="2" s="1"/>
  <c r="D472" i="2" s="1"/>
  <c r="K353" i="2"/>
  <c r="F353" i="2" s="1"/>
  <c r="K355" i="2"/>
  <c r="F355" i="2" s="1"/>
  <c r="K354" i="2"/>
  <c r="F354" i="2" s="1"/>
  <c r="K356" i="2"/>
  <c r="F356" i="2" s="1"/>
  <c r="K497" i="2"/>
  <c r="F497" i="2" s="1"/>
  <c r="K496" i="2"/>
  <c r="G496" i="2" s="1"/>
  <c r="D496" i="2" s="1"/>
  <c r="J531" i="2"/>
  <c r="M541" i="2" s="1"/>
  <c r="K362" i="2"/>
  <c r="G362" i="2" s="1"/>
  <c r="D362" i="2" s="1"/>
  <c r="K505" i="2"/>
  <c r="G505" i="2" s="1"/>
  <c r="D505" i="2" s="1"/>
  <c r="K463" i="2"/>
  <c r="F463" i="2" s="1"/>
  <c r="C19" i="5"/>
  <c r="C17" i="5"/>
  <c r="C16" i="5"/>
  <c r="C19" i="4"/>
  <c r="C16" i="4"/>
  <c r="C17" i="2"/>
  <c r="G32" i="2"/>
  <c r="F793" i="2"/>
  <c r="F542" i="2"/>
  <c r="F28" i="2"/>
  <c r="G27" i="2"/>
  <c r="D27" i="2" s="1"/>
  <c r="G33" i="2"/>
  <c r="F33" i="2"/>
  <c r="F667" i="2"/>
  <c r="F669" i="2"/>
  <c r="F671" i="2"/>
  <c r="G671" i="2"/>
  <c r="D671" i="2" s="1"/>
  <c r="F665" i="2"/>
  <c r="F653" i="2"/>
  <c r="F654" i="2"/>
  <c r="F391" i="2"/>
  <c r="F386" i="2"/>
  <c r="F273" i="2"/>
  <c r="F272" i="2"/>
  <c r="F538" i="2"/>
  <c r="F537" i="2"/>
  <c r="F535" i="2"/>
  <c r="F536" i="2"/>
  <c r="F534" i="2"/>
  <c r="F274" i="2"/>
  <c r="K180" i="2" l="1"/>
  <c r="G174" i="3"/>
  <c r="G86" i="5"/>
  <c r="F178" i="3"/>
  <c r="S178" i="3"/>
  <c r="G168" i="3"/>
  <c r="F775" i="2"/>
  <c r="G53" i="4"/>
  <c r="F29" i="3"/>
  <c r="S29" i="3"/>
  <c r="G101" i="5"/>
  <c r="I191" i="1"/>
  <c r="J191" i="1" s="1"/>
  <c r="I192" i="1"/>
  <c r="J192" i="1" s="1"/>
  <c r="F71" i="3"/>
  <c r="F52" i="3"/>
  <c r="H160" i="3"/>
  <c r="I123" i="1" s="1"/>
  <c r="J123" i="1" s="1"/>
  <c r="I101" i="1"/>
  <c r="J101" i="1" s="1"/>
  <c r="F1144" i="2"/>
  <c r="K1017" i="2"/>
  <c r="K853" i="2"/>
  <c r="G786" i="2"/>
  <c r="D786" i="2" s="1"/>
  <c r="N794" i="2"/>
  <c r="F778" i="2"/>
  <c r="G776" i="2"/>
  <c r="D776" i="2" s="1"/>
  <c r="N783" i="2"/>
  <c r="F776" i="2"/>
  <c r="F788" i="2"/>
  <c r="G784" i="2"/>
  <c r="D784" i="2" s="1"/>
  <c r="M794" i="2"/>
  <c r="F785" i="2"/>
  <c r="F774" i="2"/>
  <c r="F777" i="2"/>
  <c r="K783" i="2"/>
  <c r="M783" i="2"/>
  <c r="F142" i="2"/>
  <c r="G142" i="2"/>
  <c r="D142" i="2" s="1"/>
  <c r="G120" i="2"/>
  <c r="D120" i="2" s="1"/>
  <c r="F169" i="2"/>
  <c r="G169" i="2"/>
  <c r="E141" i="2"/>
  <c r="G141" i="2"/>
  <c r="G151" i="2"/>
  <c r="D151" i="2" s="1"/>
  <c r="F98" i="2"/>
  <c r="G98" i="2"/>
  <c r="E154" i="2"/>
  <c r="G154" i="2"/>
  <c r="F168" i="2"/>
  <c r="G168" i="2"/>
  <c r="G182" i="2"/>
  <c r="D182" i="2" s="1"/>
  <c r="K862" i="2"/>
  <c r="E140" i="2"/>
  <c r="G140" i="2"/>
  <c r="G114" i="2"/>
  <c r="D114" i="2" s="1"/>
  <c r="E179" i="2"/>
  <c r="G179" i="2"/>
  <c r="E111" i="2"/>
  <c r="G111" i="2"/>
  <c r="F167" i="2"/>
  <c r="G167" i="2"/>
  <c r="F163" i="2"/>
  <c r="G163" i="2"/>
  <c r="D163" i="2" s="1"/>
  <c r="E139" i="2"/>
  <c r="G139" i="2"/>
  <c r="E113" i="2"/>
  <c r="G113" i="2"/>
  <c r="F124" i="2"/>
  <c r="G124" i="2"/>
  <c r="G138" i="2"/>
  <c r="D138" i="2" s="1"/>
  <c r="G152" i="2"/>
  <c r="D152" i="2" s="1"/>
  <c r="G166" i="2"/>
  <c r="D166" i="2" s="1"/>
  <c r="F180" i="2"/>
  <c r="G180" i="2"/>
  <c r="D180" i="2" s="1"/>
  <c r="F162" i="2"/>
  <c r="G162" i="2"/>
  <c r="G102" i="2"/>
  <c r="D102" i="2" s="1"/>
  <c r="G116" i="2"/>
  <c r="D116" i="2" s="1"/>
  <c r="F130" i="2"/>
  <c r="G130" i="2"/>
  <c r="G144" i="2"/>
  <c r="D144" i="2" s="1"/>
  <c r="G158" i="2"/>
  <c r="D158" i="2" s="1"/>
  <c r="F172" i="2"/>
  <c r="G172" i="2"/>
  <c r="D172" i="2" s="1"/>
  <c r="G186" i="2"/>
  <c r="D186" i="2" s="1"/>
  <c r="K802" i="2"/>
  <c r="G135" i="2"/>
  <c r="D135" i="2" s="1"/>
  <c r="G107" i="2"/>
  <c r="D107" i="2" s="1"/>
  <c r="F184" i="2"/>
  <c r="G184" i="2"/>
  <c r="F156" i="2"/>
  <c r="G156" i="2"/>
  <c r="G134" i="2"/>
  <c r="D134" i="2" s="1"/>
  <c r="E106" i="2"/>
  <c r="G106" i="2"/>
  <c r="F183" i="2"/>
  <c r="G183" i="2"/>
  <c r="D183" i="2" s="1"/>
  <c r="G155" i="2"/>
  <c r="D155" i="2" s="1"/>
  <c r="E105" i="2"/>
  <c r="G105" i="2"/>
  <c r="F119" i="2"/>
  <c r="G119" i="2"/>
  <c r="E147" i="2"/>
  <c r="G147" i="2"/>
  <c r="E161" i="2"/>
  <c r="G161" i="2"/>
  <c r="F175" i="2"/>
  <c r="G175" i="2"/>
  <c r="D175" i="2" s="1"/>
  <c r="E128" i="2"/>
  <c r="G128" i="2"/>
  <c r="F100" i="2"/>
  <c r="G100" i="2"/>
  <c r="G732" i="2"/>
  <c r="D732" i="2" s="1"/>
  <c r="E104" i="2"/>
  <c r="G104" i="2"/>
  <c r="G132" i="2"/>
  <c r="D132" i="2" s="1"/>
  <c r="F146" i="2"/>
  <c r="G146" i="2"/>
  <c r="F160" i="2"/>
  <c r="G160" i="2"/>
  <c r="F174" i="2"/>
  <c r="G174" i="2"/>
  <c r="K188" i="2"/>
  <c r="E177" i="2"/>
  <c r="G177" i="2"/>
  <c r="F149" i="2"/>
  <c r="G149" i="2"/>
  <c r="E127" i="2"/>
  <c r="G127" i="2"/>
  <c r="D127" i="2" s="1"/>
  <c r="E99" i="2"/>
  <c r="G99" i="2"/>
  <c r="D99" i="2" s="1"/>
  <c r="F145" i="2"/>
  <c r="G145" i="2"/>
  <c r="D145" i="2" s="1"/>
  <c r="G176" i="2"/>
  <c r="D176" i="2" s="1"/>
  <c r="G148" i="2"/>
  <c r="D148" i="2" s="1"/>
  <c r="E95" i="2"/>
  <c r="G95" i="2"/>
  <c r="G165" i="2"/>
  <c r="D165" i="2" s="1"/>
  <c r="K903" i="2"/>
  <c r="K847" i="2"/>
  <c r="K829" i="2"/>
  <c r="K811" i="2"/>
  <c r="E121" i="2"/>
  <c r="G121" i="2"/>
  <c r="G342" i="2"/>
  <c r="D342" i="2" s="1"/>
  <c r="G382" i="2"/>
  <c r="D382" i="2" s="1"/>
  <c r="G652" i="2"/>
  <c r="D652" i="2" s="1"/>
  <c r="M662" i="2"/>
  <c r="G565" i="2"/>
  <c r="D565" i="2" s="1"/>
  <c r="K826" i="2"/>
  <c r="G630" i="2"/>
  <c r="D630" i="2" s="1"/>
  <c r="G860" i="2"/>
  <c r="D860" i="2" s="1"/>
  <c r="K97" i="2"/>
  <c r="E97" i="2" s="1"/>
  <c r="K879" i="2"/>
  <c r="K841" i="2"/>
  <c r="K823" i="2"/>
  <c r="M418" i="2"/>
  <c r="K912" i="2"/>
  <c r="K838" i="2"/>
  <c r="K993" i="2"/>
  <c r="K975" i="2"/>
  <c r="K891" i="2"/>
  <c r="K1041" i="2"/>
  <c r="K888" i="2"/>
  <c r="K850" i="2"/>
  <c r="G524" i="2"/>
  <c r="D524" i="2" s="1"/>
  <c r="G825" i="2"/>
  <c r="D825" i="2" s="1"/>
  <c r="G74" i="5"/>
  <c r="G72" i="5"/>
  <c r="I182" i="1" s="1"/>
  <c r="J182" i="1" s="1"/>
  <c r="K936" i="2"/>
  <c r="G436" i="2"/>
  <c r="D436" i="2" s="1"/>
  <c r="I55" i="1"/>
  <c r="G146" i="5"/>
  <c r="G478" i="2"/>
  <c r="D478" i="2" s="1"/>
  <c r="G337" i="2"/>
  <c r="D337" i="2" s="1"/>
  <c r="K820" i="2"/>
  <c r="G620" i="2"/>
  <c r="D620" i="2" s="1"/>
  <c r="K999" i="2"/>
  <c r="K865" i="2"/>
  <c r="G840" i="2"/>
  <c r="D840" i="2" s="1"/>
  <c r="K1014" i="2"/>
  <c r="K978" i="2"/>
  <c r="K930" i="2"/>
  <c r="K900" i="2"/>
  <c r="K882" i="2"/>
  <c r="K832" i="2"/>
  <c r="K897" i="2"/>
  <c r="G890" i="2"/>
  <c r="D890" i="2" s="1"/>
  <c r="G320" i="2"/>
  <c r="D320" i="2" s="1"/>
  <c r="K1026" i="2"/>
  <c r="K990" i="2"/>
  <c r="K1005" i="2"/>
  <c r="K924" i="2"/>
  <c r="K906" i="2"/>
  <c r="K876" i="2"/>
  <c r="K856" i="2"/>
  <c r="F197" i="2"/>
  <c r="K921" i="2"/>
  <c r="K873" i="2"/>
  <c r="G533" i="2"/>
  <c r="D533" i="2" s="1"/>
  <c r="N541" i="2"/>
  <c r="I174" i="1"/>
  <c r="J174" i="1" s="1"/>
  <c r="I179" i="1"/>
  <c r="J179" i="1" s="1"/>
  <c r="I188" i="1"/>
  <c r="J188" i="1" s="1"/>
  <c r="I187" i="1"/>
  <c r="J187" i="1" s="1"/>
  <c r="J75" i="1"/>
  <c r="G477" i="2"/>
  <c r="D477" i="2" s="1"/>
  <c r="F493" i="2"/>
  <c r="F518" i="2"/>
  <c r="F505" i="2"/>
  <c r="F504" i="2"/>
  <c r="R3" i="10"/>
  <c r="K1156" i="2"/>
  <c r="K933" i="2"/>
  <c r="K918" i="2"/>
  <c r="K909" i="2"/>
  <c r="K894" i="2"/>
  <c r="K885" i="2"/>
  <c r="K868" i="2"/>
  <c r="K859" i="2"/>
  <c r="K844" i="2"/>
  <c r="K835" i="2"/>
  <c r="K814" i="2"/>
  <c r="K808" i="2"/>
  <c r="G294" i="2"/>
  <c r="D294" i="2" s="1"/>
  <c r="G302" i="2"/>
  <c r="D302" i="2" s="1"/>
  <c r="G554" i="2"/>
  <c r="D554" i="2" s="1"/>
  <c r="G697" i="2"/>
  <c r="D697" i="2" s="1"/>
  <c r="G719" i="2"/>
  <c r="D719" i="2" s="1"/>
  <c r="G509" i="2"/>
  <c r="D509" i="2" s="1"/>
  <c r="K987" i="2"/>
  <c r="K942" i="2"/>
  <c r="K927" i="2"/>
  <c r="G162" i="3"/>
  <c r="F162" i="3"/>
  <c r="H40" i="9"/>
  <c r="K1100" i="2"/>
  <c r="K1029" i="2"/>
  <c r="K1023" i="2"/>
  <c r="K1002" i="2"/>
  <c r="K981" i="2"/>
  <c r="H28" i="9"/>
  <c r="G84" i="5"/>
  <c r="H38" i="9"/>
  <c r="K1038" i="2"/>
  <c r="K1011" i="2"/>
  <c r="K939" i="2"/>
  <c r="K915" i="2"/>
  <c r="H176" i="3"/>
  <c r="I153" i="1"/>
  <c r="J153" i="1" s="1"/>
  <c r="G55" i="4"/>
  <c r="G54" i="4"/>
  <c r="I146" i="1"/>
  <c r="J146" i="1" s="1"/>
  <c r="F38" i="4"/>
  <c r="G48" i="4"/>
  <c r="I137" i="1" s="1"/>
  <c r="J137" i="1" s="1"/>
  <c r="G134" i="5"/>
  <c r="G57" i="5"/>
  <c r="G75" i="5"/>
  <c r="G48" i="5"/>
  <c r="G156" i="5"/>
  <c r="I219" i="1" s="1"/>
  <c r="J219" i="1" s="1"/>
  <c r="G84" i="4"/>
  <c r="I159" i="1" s="1"/>
  <c r="J159" i="1" s="1"/>
  <c r="G144" i="5"/>
  <c r="G132" i="5"/>
  <c r="G96" i="5"/>
  <c r="G39" i="5"/>
  <c r="G135" i="5"/>
  <c r="G36" i="4"/>
  <c r="I135" i="1" s="1"/>
  <c r="J135" i="1" s="1"/>
  <c r="G26" i="4"/>
  <c r="G938" i="2"/>
  <c r="D938" i="2" s="1"/>
  <c r="G1001" i="2"/>
  <c r="D1001" i="2" s="1"/>
  <c r="G992" i="2"/>
  <c r="D992" i="2" s="1"/>
  <c r="G977" i="2"/>
  <c r="D977" i="2" s="1"/>
  <c r="G1013" i="2"/>
  <c r="D1013" i="2" s="1"/>
  <c r="G1025" i="2"/>
  <c r="D1025" i="2" s="1"/>
  <c r="G1037" i="2"/>
  <c r="D1037" i="2" s="1"/>
  <c r="G1040" i="2"/>
  <c r="D1040" i="2" s="1"/>
  <c r="K1032" i="2"/>
  <c r="K1020" i="2"/>
  <c r="K996" i="2"/>
  <c r="K984" i="2"/>
  <c r="G542" i="2"/>
  <c r="D542" i="2" s="1"/>
  <c r="G587" i="2"/>
  <c r="D587" i="2" s="1"/>
  <c r="G675" i="2"/>
  <c r="D675" i="2" s="1"/>
  <c r="G751" i="2"/>
  <c r="D751" i="2" s="1"/>
  <c r="G762" i="2"/>
  <c r="D762" i="2" s="1"/>
  <c r="G642" i="2"/>
  <c r="D642" i="2" s="1"/>
  <c r="G801" i="2"/>
  <c r="D801" i="2" s="1"/>
  <c r="M352" i="2"/>
  <c r="M374" i="2"/>
  <c r="G357" i="2"/>
  <c r="D357" i="2" s="1"/>
  <c r="G469" i="2"/>
  <c r="D469" i="2" s="1"/>
  <c r="M506" i="2"/>
  <c r="G489" i="2"/>
  <c r="D489" i="2" s="1"/>
  <c r="M286" i="2"/>
  <c r="G290" i="2"/>
  <c r="D290" i="2" s="1"/>
  <c r="G298" i="2"/>
  <c r="D298" i="2" s="1"/>
  <c r="G324" i="2"/>
  <c r="D324" i="2" s="1"/>
  <c r="G287" i="2"/>
  <c r="D287" i="2" s="1"/>
  <c r="G397" i="2"/>
  <c r="D397" i="2" s="1"/>
  <c r="G408" i="2"/>
  <c r="D408" i="2" s="1"/>
  <c r="G423" i="2"/>
  <c r="D423" i="2" s="1"/>
  <c r="G441" i="2"/>
  <c r="D441" i="2" s="1"/>
  <c r="G456" i="2"/>
  <c r="D456" i="2" s="1"/>
  <c r="G378" i="2"/>
  <c r="D378" i="2" s="1"/>
  <c r="G513" i="2"/>
  <c r="D513" i="2" s="1"/>
  <c r="I70" i="1"/>
  <c r="J70" i="1" s="1"/>
  <c r="F945" i="2"/>
  <c r="I71" i="1" s="1"/>
  <c r="J71" i="1" s="1"/>
  <c r="F815" i="2"/>
  <c r="K817" i="2"/>
  <c r="K805" i="2"/>
  <c r="F800" i="2"/>
  <c r="K799" i="2"/>
  <c r="F786" i="2"/>
  <c r="F787" i="2"/>
  <c r="K794" i="2"/>
  <c r="F764" i="2"/>
  <c r="F765" i="2"/>
  <c r="G753" i="2"/>
  <c r="D753" i="2" s="1"/>
  <c r="F751" i="2"/>
  <c r="F752" i="2"/>
  <c r="F754" i="2"/>
  <c r="F740" i="2"/>
  <c r="F741" i="2"/>
  <c r="F742" i="2"/>
  <c r="K750" i="2"/>
  <c r="G730" i="2"/>
  <c r="D730" i="2" s="1"/>
  <c r="F729" i="2"/>
  <c r="F731" i="2"/>
  <c r="K739" i="2"/>
  <c r="G721" i="2"/>
  <c r="D721" i="2" s="1"/>
  <c r="F718" i="2"/>
  <c r="F720" i="2"/>
  <c r="K728" i="2"/>
  <c r="G708" i="2"/>
  <c r="D708" i="2" s="1"/>
  <c r="F707" i="2"/>
  <c r="F709" i="2"/>
  <c r="F710" i="2"/>
  <c r="K717" i="2"/>
  <c r="F696" i="2"/>
  <c r="F698" i="2"/>
  <c r="K706" i="2"/>
  <c r="G686" i="2"/>
  <c r="D686" i="2" s="1"/>
  <c r="F685" i="2"/>
  <c r="F687" i="2"/>
  <c r="K695" i="2"/>
  <c r="F674" i="2"/>
  <c r="F676" i="2"/>
  <c r="K684" i="2"/>
  <c r="G663" i="2"/>
  <c r="D663" i="2" s="1"/>
  <c r="F663" i="2"/>
  <c r="F664" i="2"/>
  <c r="F652" i="2"/>
  <c r="K662" i="2"/>
  <c r="F641" i="2"/>
  <c r="F643" i="2"/>
  <c r="K651" i="2"/>
  <c r="F631" i="2"/>
  <c r="F632" i="2"/>
  <c r="F619" i="2"/>
  <c r="F621" i="2"/>
  <c r="K629" i="2"/>
  <c r="K618" i="2"/>
  <c r="G609" i="2"/>
  <c r="D609" i="2" s="1"/>
  <c r="F608" i="2"/>
  <c r="F610" i="2"/>
  <c r="G598" i="2"/>
  <c r="D598" i="2" s="1"/>
  <c r="F597" i="2"/>
  <c r="F599" i="2"/>
  <c r="K607" i="2"/>
  <c r="K596" i="2"/>
  <c r="G586" i="2"/>
  <c r="D586" i="2" s="1"/>
  <c r="F588" i="2"/>
  <c r="F575" i="2"/>
  <c r="K585" i="2"/>
  <c r="K563" i="2"/>
  <c r="K541" i="2"/>
  <c r="F531" i="2"/>
  <c r="G520" i="2"/>
  <c r="D520" i="2" s="1"/>
  <c r="G497" i="2"/>
  <c r="D497" i="2" s="1"/>
  <c r="G485" i="2"/>
  <c r="D485" i="2" s="1"/>
  <c r="M484" i="2"/>
  <c r="G463" i="2"/>
  <c r="D463" i="2" s="1"/>
  <c r="G466" i="2"/>
  <c r="D466" i="2" s="1"/>
  <c r="M462" i="2"/>
  <c r="G452" i="2"/>
  <c r="D452" i="2" s="1"/>
  <c r="G445" i="2"/>
  <c r="D445" i="2" s="1"/>
  <c r="F433" i="2"/>
  <c r="G419" i="2"/>
  <c r="D419" i="2" s="1"/>
  <c r="G412" i="2"/>
  <c r="D412" i="2" s="1"/>
  <c r="G401" i="2"/>
  <c r="D401" i="2" s="1"/>
  <c r="M396" i="2"/>
  <c r="G390" i="2"/>
  <c r="D390" i="2" s="1"/>
  <c r="G364" i="2"/>
  <c r="D364" i="2" s="1"/>
  <c r="G368" i="2"/>
  <c r="D368" i="2" s="1"/>
  <c r="G356" i="2"/>
  <c r="D356" i="2" s="1"/>
  <c r="G333" i="2"/>
  <c r="D333" i="2" s="1"/>
  <c r="M330" i="2"/>
  <c r="G312" i="2"/>
  <c r="D312" i="2" s="1"/>
  <c r="F310" i="2"/>
  <c r="M308" i="2"/>
  <c r="F267" i="2"/>
  <c r="K249" i="2"/>
  <c r="K194" i="2"/>
  <c r="E194" i="2" s="1"/>
  <c r="K187" i="2"/>
  <c r="K173" i="2"/>
  <c r="K131" i="2"/>
  <c r="M136" i="2" s="1"/>
  <c r="K103" i="2"/>
  <c r="K96" i="2"/>
  <c r="K61" i="2"/>
  <c r="E61" i="2" s="1"/>
  <c r="K47" i="2"/>
  <c r="F47" i="2" s="1"/>
  <c r="K39" i="2"/>
  <c r="F39" i="2" s="1"/>
  <c r="K34" i="2"/>
  <c r="G34" i="2" s="1"/>
  <c r="I36" i="1"/>
  <c r="J36" i="1" s="1"/>
  <c r="I34" i="1"/>
  <c r="J34" i="1" s="1"/>
  <c r="F27" i="2"/>
  <c r="K30" i="2"/>
  <c r="G30" i="2" s="1"/>
  <c r="H48" i="9" s="1"/>
  <c r="J35" i="1"/>
  <c r="G29" i="2"/>
  <c r="D29" i="2" s="1"/>
  <c r="E82" i="2"/>
  <c r="F51" i="2"/>
  <c r="K234" i="2"/>
  <c r="K221" i="2"/>
  <c r="G238" i="2"/>
  <c r="D238" i="2" s="1"/>
  <c r="G355" i="2"/>
  <c r="D355" i="2" s="1"/>
  <c r="G464" i="2"/>
  <c r="D464" i="2" s="1"/>
  <c r="G499" i="2"/>
  <c r="D499" i="2" s="1"/>
  <c r="G344" i="2"/>
  <c r="D344" i="2" s="1"/>
  <c r="G475" i="2"/>
  <c r="D475" i="2" s="1"/>
  <c r="G366" i="2"/>
  <c r="D366" i="2" s="1"/>
  <c r="G348" i="2"/>
  <c r="D348" i="2" s="1"/>
  <c r="G370" i="2"/>
  <c r="D370" i="2" s="1"/>
  <c r="G359" i="2"/>
  <c r="D359" i="2" s="1"/>
  <c r="G467" i="2"/>
  <c r="D467" i="2" s="1"/>
  <c r="G480" i="2"/>
  <c r="D480" i="2" s="1"/>
  <c r="G500" i="2"/>
  <c r="D500" i="2" s="1"/>
  <c r="G487" i="2"/>
  <c r="D487" i="2" s="1"/>
  <c r="G491" i="2"/>
  <c r="D491" i="2" s="1"/>
  <c r="G288" i="2"/>
  <c r="D288" i="2" s="1"/>
  <c r="G292" i="2"/>
  <c r="D292" i="2" s="1"/>
  <c r="G300" i="2"/>
  <c r="D300" i="2" s="1"/>
  <c r="G304" i="2"/>
  <c r="D304" i="2" s="1"/>
  <c r="G322" i="2"/>
  <c r="D322" i="2" s="1"/>
  <c r="G376" i="2"/>
  <c r="D376" i="2" s="1"/>
  <c r="G380" i="2"/>
  <c r="D380" i="2" s="1"/>
  <c r="G388" i="2"/>
  <c r="D388" i="2" s="1"/>
  <c r="G392" i="2"/>
  <c r="D392" i="2" s="1"/>
  <c r="G507" i="2"/>
  <c r="D507" i="2" s="1"/>
  <c r="G511" i="2"/>
  <c r="D511" i="2" s="1"/>
  <c r="G522" i="2"/>
  <c r="D522" i="2" s="1"/>
  <c r="G331" i="2"/>
  <c r="D331" i="2" s="1"/>
  <c r="G335" i="2"/>
  <c r="D335" i="2" s="1"/>
  <c r="G399" i="2"/>
  <c r="D399" i="2" s="1"/>
  <c r="G403" i="2"/>
  <c r="D403" i="2" s="1"/>
  <c r="G410" i="2"/>
  <c r="D410" i="2" s="1"/>
  <c r="G414" i="2"/>
  <c r="D414" i="2" s="1"/>
  <c r="G421" i="2"/>
  <c r="D421" i="2" s="1"/>
  <c r="G425" i="2"/>
  <c r="D425" i="2" s="1"/>
  <c r="G431" i="2"/>
  <c r="D431" i="2" s="1"/>
  <c r="G443" i="2"/>
  <c r="D443" i="2" s="1"/>
  <c r="G447" i="2"/>
  <c r="D447" i="2" s="1"/>
  <c r="G454" i="2"/>
  <c r="D454" i="2" s="1"/>
  <c r="M319" i="2"/>
  <c r="K1044" i="2"/>
  <c r="G1043" i="2"/>
  <c r="D1043" i="2" s="1"/>
  <c r="K1008" i="2"/>
  <c r="G1007" i="2"/>
  <c r="D1007" i="2" s="1"/>
  <c r="K970" i="2"/>
  <c r="G556" i="2"/>
  <c r="D556" i="2" s="1"/>
  <c r="G567" i="2"/>
  <c r="D567" i="2" s="1"/>
  <c r="G810" i="2"/>
  <c r="D810" i="2" s="1"/>
  <c r="G822" i="2"/>
  <c r="D822" i="2" s="1"/>
  <c r="G896" i="2"/>
  <c r="D896" i="2" s="1"/>
  <c r="G884" i="2"/>
  <c r="D884" i="2" s="1"/>
  <c r="G872" i="2"/>
  <c r="D872" i="2" s="1"/>
  <c r="G908" i="2"/>
  <c r="D908" i="2" s="1"/>
  <c r="G920" i="2"/>
  <c r="D920" i="2" s="1"/>
  <c r="G932" i="2"/>
  <c r="D932" i="2" s="1"/>
  <c r="G995" i="2"/>
  <c r="D995" i="2" s="1"/>
  <c r="G983" i="2"/>
  <c r="D983" i="2" s="1"/>
  <c r="G1019" i="2"/>
  <c r="D1019" i="2" s="1"/>
  <c r="G1031" i="2"/>
  <c r="D1031" i="2" s="1"/>
  <c r="K1128" i="2"/>
  <c r="N87" i="3"/>
  <c r="D72" i="13" s="1"/>
  <c r="K72" i="13" s="1"/>
  <c r="G87" i="3" s="1"/>
  <c r="G156" i="3"/>
  <c r="I128" i="1"/>
  <c r="J128" i="1" s="1"/>
  <c r="F135" i="5"/>
  <c r="I215" i="1" s="1"/>
  <c r="J215" i="1" s="1"/>
  <c r="G120" i="5"/>
  <c r="F111" i="5"/>
  <c r="I204" i="1" s="1"/>
  <c r="J204" i="1" s="1"/>
  <c r="G108" i="5"/>
  <c r="G87" i="5"/>
  <c r="F87" i="5"/>
  <c r="G62" i="5"/>
  <c r="G60" i="5"/>
  <c r="G36" i="5"/>
  <c r="F26" i="5"/>
  <c r="G72" i="4"/>
  <c r="G63" i="4"/>
  <c r="F63" i="4"/>
  <c r="I155" i="1" s="1"/>
  <c r="J155" i="1" s="1"/>
  <c r="G60" i="4"/>
  <c r="N180" i="3"/>
  <c r="I130" i="1" s="1"/>
  <c r="J130" i="1" s="1"/>
  <c r="N178" i="3"/>
  <c r="H178" i="3"/>
  <c r="G158" i="3"/>
  <c r="H180" i="3"/>
  <c r="H166" i="3"/>
  <c r="I125" i="1" s="1"/>
  <c r="J125" i="1" s="1"/>
  <c r="H184" i="3"/>
  <c r="N152" i="3"/>
  <c r="N85" i="3"/>
  <c r="D70" i="13" s="1"/>
  <c r="I70" i="13" s="1"/>
  <c r="N81" i="3"/>
  <c r="D66" i="13" s="1"/>
  <c r="K66" i="13" s="1"/>
  <c r="G81" i="3" s="1"/>
  <c r="N79" i="3"/>
  <c r="D64" i="13" s="1"/>
  <c r="I64" i="13" s="1"/>
  <c r="N77" i="3"/>
  <c r="D62" i="13" s="1"/>
  <c r="I62" i="13" s="1"/>
  <c r="N73" i="3"/>
  <c r="D58" i="13" s="1"/>
  <c r="I58" i="13" s="1"/>
  <c r="D56" i="13"/>
  <c r="I56" i="13" s="1"/>
  <c r="N71" i="3"/>
  <c r="D54" i="13" s="1"/>
  <c r="N66" i="3"/>
  <c r="N64" i="3"/>
  <c r="N62" i="3"/>
  <c r="N58" i="3"/>
  <c r="N56" i="3"/>
  <c r="N54" i="3"/>
  <c r="D37" i="13" s="1"/>
  <c r="N50" i="3"/>
  <c r="D33" i="13" s="1"/>
  <c r="N47" i="3"/>
  <c r="N45" i="3"/>
  <c r="N41" i="3"/>
  <c r="N39" i="3"/>
  <c r="N37" i="3"/>
  <c r="N33" i="3"/>
  <c r="N31" i="3"/>
  <c r="D14" i="13" s="1"/>
  <c r="K14" i="13" s="1"/>
  <c r="G180" i="3"/>
  <c r="N182" i="3"/>
  <c r="I132" i="1" s="1"/>
  <c r="J132" i="1" s="1"/>
  <c r="N168" i="3"/>
  <c r="I127" i="1" s="1"/>
  <c r="J127" i="1" s="1"/>
  <c r="K1143" i="2"/>
  <c r="K1115" i="2"/>
  <c r="K1087" i="2"/>
  <c r="G1076" i="2"/>
  <c r="D1076" i="2" s="1"/>
  <c r="K1072" i="2"/>
  <c r="K1059" i="2"/>
  <c r="F773" i="2"/>
  <c r="G773" i="2"/>
  <c r="D773" i="2" s="1"/>
  <c r="F948" i="2"/>
  <c r="K957" i="2"/>
  <c r="G564" i="2"/>
  <c r="D564" i="2" s="1"/>
  <c r="G566" i="2"/>
  <c r="D566" i="2" s="1"/>
  <c r="F564" i="2"/>
  <c r="G553" i="2"/>
  <c r="D553" i="2" s="1"/>
  <c r="G555" i="2"/>
  <c r="D555" i="2" s="1"/>
  <c r="F553" i="2"/>
  <c r="G544" i="2"/>
  <c r="D544" i="2" s="1"/>
  <c r="G543" i="2"/>
  <c r="D543" i="2" s="1"/>
  <c r="G545" i="2"/>
  <c r="D545" i="2" s="1"/>
  <c r="F532" i="2"/>
  <c r="G531" i="2"/>
  <c r="D531" i="2" s="1"/>
  <c r="K262" i="2"/>
  <c r="K204" i="2"/>
  <c r="F204" i="2" s="1"/>
  <c r="K202" i="2"/>
  <c r="F202" i="2" s="1"/>
  <c r="K203" i="2"/>
  <c r="G203" i="2" s="1"/>
  <c r="D203" i="2" s="1"/>
  <c r="K201" i="2"/>
  <c r="F201" i="2" s="1"/>
  <c r="K181" i="2"/>
  <c r="F159" i="2"/>
  <c r="D159" i="2"/>
  <c r="K153" i="2"/>
  <c r="F153" i="2" s="1"/>
  <c r="K125" i="2"/>
  <c r="K112" i="2"/>
  <c r="K110" i="2"/>
  <c r="F105" i="2"/>
  <c r="G75" i="2"/>
  <c r="D75" i="2" s="1"/>
  <c r="E75" i="2"/>
  <c r="K69" i="2"/>
  <c r="E69" i="2" s="1"/>
  <c r="F53" i="2"/>
  <c r="E53" i="2"/>
  <c r="F40" i="2"/>
  <c r="M528" i="2"/>
  <c r="G519" i="2"/>
  <c r="D519" i="2" s="1"/>
  <c r="G521" i="2"/>
  <c r="D521" i="2" s="1"/>
  <c r="G523" i="2"/>
  <c r="D523" i="2" s="1"/>
  <c r="G525" i="2"/>
  <c r="D525" i="2" s="1"/>
  <c r="M517" i="2"/>
  <c r="G508" i="2"/>
  <c r="D508" i="2" s="1"/>
  <c r="G510" i="2"/>
  <c r="D510" i="2" s="1"/>
  <c r="G512" i="2"/>
  <c r="D512" i="2" s="1"/>
  <c r="G514" i="2"/>
  <c r="D514" i="2" s="1"/>
  <c r="F496" i="2"/>
  <c r="F498" i="2"/>
  <c r="F501" i="2"/>
  <c r="F502" i="2"/>
  <c r="F503" i="2"/>
  <c r="M495" i="2"/>
  <c r="G486" i="2"/>
  <c r="D486" i="2" s="1"/>
  <c r="G488" i="2"/>
  <c r="D488" i="2" s="1"/>
  <c r="G490" i="2"/>
  <c r="D490" i="2" s="1"/>
  <c r="G492" i="2"/>
  <c r="D492" i="2" s="1"/>
  <c r="G474" i="2"/>
  <c r="D474" i="2" s="1"/>
  <c r="G476" i="2"/>
  <c r="D476" i="2" s="1"/>
  <c r="G479" i="2"/>
  <c r="D479" i="2" s="1"/>
  <c r="G481" i="2"/>
  <c r="D481" i="2" s="1"/>
  <c r="F480" i="2"/>
  <c r="G465" i="2"/>
  <c r="D465" i="2" s="1"/>
  <c r="G468" i="2"/>
  <c r="D468" i="2" s="1"/>
  <c r="G470" i="2"/>
  <c r="D470" i="2" s="1"/>
  <c r="M473" i="2"/>
  <c r="F453" i="2"/>
  <c r="F455" i="2"/>
  <c r="F457" i="2"/>
  <c r="F458" i="2"/>
  <c r="F459" i="2"/>
  <c r="G442" i="2"/>
  <c r="D442" i="2" s="1"/>
  <c r="G444" i="2"/>
  <c r="D444" i="2" s="1"/>
  <c r="G446" i="2"/>
  <c r="D446" i="2" s="1"/>
  <c r="G448" i="2"/>
  <c r="D448" i="2" s="1"/>
  <c r="M451" i="2"/>
  <c r="F430" i="2"/>
  <c r="F432" i="2"/>
  <c r="F434" i="2"/>
  <c r="F436" i="2"/>
  <c r="M440" i="2"/>
  <c r="M429" i="2"/>
  <c r="G420" i="2"/>
  <c r="D420" i="2" s="1"/>
  <c r="G422" i="2"/>
  <c r="D422" i="2" s="1"/>
  <c r="G424" i="2"/>
  <c r="D424" i="2" s="1"/>
  <c r="G426" i="2"/>
  <c r="D426" i="2" s="1"/>
  <c r="G409" i="2"/>
  <c r="D409" i="2" s="1"/>
  <c r="G411" i="2"/>
  <c r="D411" i="2" s="1"/>
  <c r="G413" i="2"/>
  <c r="D413" i="2" s="1"/>
  <c r="G415" i="2"/>
  <c r="D415" i="2" s="1"/>
  <c r="F414" i="2"/>
  <c r="M407" i="2"/>
  <c r="G398" i="2"/>
  <c r="D398" i="2" s="1"/>
  <c r="G400" i="2"/>
  <c r="D400" i="2" s="1"/>
  <c r="G402" i="2"/>
  <c r="D402" i="2" s="1"/>
  <c r="G404" i="2"/>
  <c r="D404" i="2" s="1"/>
  <c r="G387" i="2"/>
  <c r="D387" i="2" s="1"/>
  <c r="G389" i="2"/>
  <c r="D389" i="2" s="1"/>
  <c r="G393" i="2"/>
  <c r="D393" i="2" s="1"/>
  <c r="F392" i="2"/>
  <c r="M385" i="2"/>
  <c r="G375" i="2"/>
  <c r="D375" i="2" s="1"/>
  <c r="G377" i="2"/>
  <c r="D377" i="2" s="1"/>
  <c r="G379" i="2"/>
  <c r="D379" i="2" s="1"/>
  <c r="G381" i="2"/>
  <c r="D381" i="2" s="1"/>
  <c r="G365" i="2"/>
  <c r="D365" i="2" s="1"/>
  <c r="G367" i="2"/>
  <c r="D367" i="2" s="1"/>
  <c r="G369" i="2"/>
  <c r="D369" i="2" s="1"/>
  <c r="G371" i="2"/>
  <c r="D371" i="2" s="1"/>
  <c r="F370" i="2"/>
  <c r="M363" i="2"/>
  <c r="G354" i="2"/>
  <c r="D354" i="2" s="1"/>
  <c r="G353" i="2"/>
  <c r="D353" i="2" s="1"/>
  <c r="G358" i="2"/>
  <c r="D358" i="2" s="1"/>
  <c r="G360" i="2"/>
  <c r="D360" i="2" s="1"/>
  <c r="G343" i="2"/>
  <c r="D343" i="2" s="1"/>
  <c r="G346" i="2"/>
  <c r="D346" i="2" s="1"/>
  <c r="G347" i="2"/>
  <c r="D347" i="2" s="1"/>
  <c r="G349" i="2"/>
  <c r="D349" i="2" s="1"/>
  <c r="G345" i="2"/>
  <c r="D345" i="2" s="1"/>
  <c r="F348" i="2"/>
  <c r="M341" i="2"/>
  <c r="G332" i="2"/>
  <c r="D332" i="2" s="1"/>
  <c r="G334" i="2"/>
  <c r="D334" i="2" s="1"/>
  <c r="G336" i="2"/>
  <c r="D336" i="2" s="1"/>
  <c r="G338" i="2"/>
  <c r="D338" i="2" s="1"/>
  <c r="G321" i="2"/>
  <c r="D321" i="2" s="1"/>
  <c r="G323" i="2"/>
  <c r="D323" i="2" s="1"/>
  <c r="G325" i="2"/>
  <c r="D325" i="2" s="1"/>
  <c r="G327" i="2"/>
  <c r="D327" i="2" s="1"/>
  <c r="F326" i="2"/>
  <c r="F309" i="2"/>
  <c r="F311" i="2"/>
  <c r="F313" i="2"/>
  <c r="F315" i="2"/>
  <c r="G299" i="2"/>
  <c r="D299" i="2" s="1"/>
  <c r="G301" i="2"/>
  <c r="D301" i="2" s="1"/>
  <c r="G303" i="2"/>
  <c r="D303" i="2" s="1"/>
  <c r="G305" i="2"/>
  <c r="D305" i="2" s="1"/>
  <c r="F304" i="2"/>
  <c r="J58" i="1"/>
  <c r="M297" i="2"/>
  <c r="G289" i="2"/>
  <c r="D289" i="2" s="1"/>
  <c r="G291" i="2"/>
  <c r="D291" i="2" s="1"/>
  <c r="G293" i="2"/>
  <c r="D293" i="2" s="1"/>
  <c r="F279" i="2"/>
  <c r="J59" i="1" s="1"/>
  <c r="F281" i="2"/>
  <c r="F282" i="2"/>
  <c r="G276" i="2"/>
  <c r="D276" i="2" s="1"/>
  <c r="F276" i="2"/>
  <c r="F271" i="2"/>
  <c r="F270" i="2"/>
  <c r="F269" i="2"/>
  <c r="F268" i="2"/>
  <c r="I54" i="1" s="1"/>
  <c r="F266" i="2"/>
  <c r="M275" i="2"/>
  <c r="F265" i="2"/>
  <c r="I53" i="1" s="1"/>
  <c r="G28" i="2"/>
  <c r="D28" i="2" s="1"/>
  <c r="G109" i="13"/>
  <c r="K109" i="13"/>
  <c r="G124" i="3" s="1"/>
  <c r="I109" i="13"/>
  <c r="G98" i="13"/>
  <c r="K98" i="13"/>
  <c r="G113" i="3" s="1"/>
  <c r="I98" i="13"/>
  <c r="G104" i="13"/>
  <c r="K104" i="13"/>
  <c r="G119" i="3" s="1"/>
  <c r="I104" i="13"/>
  <c r="G107" i="13"/>
  <c r="K107" i="13"/>
  <c r="G122" i="3" s="1"/>
  <c r="I107" i="13"/>
  <c r="G100" i="13"/>
  <c r="K100" i="13"/>
  <c r="G115" i="3" s="1"/>
  <c r="I100" i="13"/>
  <c r="G178" i="3"/>
  <c r="H182" i="3"/>
  <c r="N83" i="3"/>
  <c r="N75" i="3"/>
  <c r="N68" i="3"/>
  <c r="D51" i="13" s="1"/>
  <c r="N60" i="3"/>
  <c r="D43" i="13" s="1"/>
  <c r="N52" i="3"/>
  <c r="D35" i="13" s="1"/>
  <c r="N43" i="3"/>
  <c r="D26" i="13" s="1"/>
  <c r="N35" i="3"/>
  <c r="D18" i="13" s="1"/>
  <c r="K77" i="13"/>
  <c r="G92" i="3" s="1"/>
  <c r="K81" i="13"/>
  <c r="G96" i="3" s="1"/>
  <c r="I81" i="13"/>
  <c r="G81" i="13"/>
  <c r="K79" i="13"/>
  <c r="G94" i="3" s="1"/>
  <c r="I79" i="13"/>
  <c r="G79" i="13"/>
  <c r="K75" i="13"/>
  <c r="G90" i="3" s="1"/>
  <c r="I75" i="13"/>
  <c r="G75" i="13"/>
  <c r="I66" i="13"/>
  <c r="F140" i="2"/>
  <c r="G56" i="2"/>
  <c r="D56" i="2" s="1"/>
  <c r="C21" i="2"/>
  <c r="D19" i="9"/>
  <c r="F152" i="2"/>
  <c r="E85" i="2"/>
  <c r="E100" i="2"/>
  <c r="G93" i="2"/>
  <c r="D93" i="2" s="1"/>
  <c r="F191" i="2"/>
  <c r="G86" i="2"/>
  <c r="D86" i="2" s="1"/>
  <c r="E41" i="2"/>
  <c r="E43" i="2"/>
  <c r="E55" i="2"/>
  <c r="E65" i="2"/>
  <c r="D95" i="2"/>
  <c r="F141" i="2"/>
  <c r="F155" i="2"/>
  <c r="F161" i="2"/>
  <c r="D184" i="2"/>
  <c r="G50" i="2"/>
  <c r="D50" i="2" s="1"/>
  <c r="E102" i="2"/>
  <c r="E120" i="2"/>
  <c r="F85" i="2"/>
  <c r="G88" i="2"/>
  <c r="D88" i="2" s="1"/>
  <c r="E184" i="2"/>
  <c r="F74" i="2"/>
  <c r="D168" i="2"/>
  <c r="D128" i="2"/>
  <c r="G76" i="2"/>
  <c r="D76" i="2" s="1"/>
  <c r="G74" i="2"/>
  <c r="D74" i="2" s="1"/>
  <c r="F58" i="2"/>
  <c r="F70" i="2"/>
  <c r="E158" i="2"/>
  <c r="E172" i="2"/>
  <c r="E176" i="2"/>
  <c r="E90" i="2"/>
  <c r="F132" i="2"/>
  <c r="E138" i="2"/>
  <c r="F148" i="2"/>
  <c r="D154" i="2"/>
  <c r="E98" i="2"/>
  <c r="E70" i="2"/>
  <c r="G44" i="2"/>
  <c r="D44" i="2" s="1"/>
  <c r="G196" i="2"/>
  <c r="D196" i="2" s="1"/>
  <c r="E152" i="2"/>
  <c r="D156" i="2"/>
  <c r="D140" i="2"/>
  <c r="D124" i="2"/>
  <c r="G42" i="2"/>
  <c r="D42" i="2" s="1"/>
  <c r="F44" i="2"/>
  <c r="F46" i="2"/>
  <c r="E54" i="2"/>
  <c r="E56" i="2"/>
  <c r="G58" i="2"/>
  <c r="D58" i="2" s="1"/>
  <c r="G48" i="2"/>
  <c r="D48" i="2" s="1"/>
  <c r="E42" i="2"/>
  <c r="F54" i="2"/>
  <c r="F72" i="2"/>
  <c r="F76" i="2"/>
  <c r="E116" i="2"/>
  <c r="E124" i="2"/>
  <c r="E198" i="2"/>
  <c r="D174" i="2"/>
  <c r="G198" i="2"/>
  <c r="D198" i="2" s="1"/>
  <c r="F182" i="2"/>
  <c r="F84" i="2"/>
  <c r="E79" i="2"/>
  <c r="F41" i="2"/>
  <c r="E119" i="2"/>
  <c r="E107" i="2"/>
  <c r="F82" i="2"/>
  <c r="E91" i="2"/>
  <c r="G40" i="2"/>
  <c r="D40" i="2" s="1"/>
  <c r="F43" i="2"/>
  <c r="E57" i="2"/>
  <c r="F65" i="2"/>
  <c r="D105" i="2"/>
  <c r="E169" i="2"/>
  <c r="E189" i="2"/>
  <c r="E145" i="2"/>
  <c r="E155" i="2"/>
  <c r="F97" i="2"/>
  <c r="K28" i="9"/>
  <c r="R2" i="10"/>
  <c r="R4" i="10"/>
  <c r="R6" i="10"/>
  <c r="H39" i="9"/>
  <c r="H41" i="9" s="1"/>
  <c r="K40" i="9" s="1"/>
  <c r="H31" i="9"/>
  <c r="K32" i="9"/>
  <c r="R8" i="10"/>
  <c r="K39" i="9"/>
  <c r="H30" i="9"/>
  <c r="D121" i="2"/>
  <c r="G84" i="2"/>
  <c r="D84" i="2" s="1"/>
  <c r="E93" i="2"/>
  <c r="G89" i="2"/>
  <c r="D89" i="2" s="1"/>
  <c r="E159" i="2"/>
  <c r="E175" i="2"/>
  <c r="D147" i="2"/>
  <c r="F135" i="2"/>
  <c r="D119" i="2"/>
  <c r="F89" i="2"/>
  <c r="E86" i="2"/>
  <c r="G55" i="2"/>
  <c r="D55" i="2" s="1"/>
  <c r="G57" i="2"/>
  <c r="D57" i="2" s="1"/>
  <c r="E63" i="2"/>
  <c r="E77" i="2"/>
  <c r="F95" i="2"/>
  <c r="E49" i="2"/>
  <c r="G71" i="2"/>
  <c r="D71" i="2" s="1"/>
  <c r="G51" i="2"/>
  <c r="D51" i="2" s="1"/>
  <c r="F67" i="2"/>
  <c r="G53" i="2"/>
  <c r="D53" i="2" s="1"/>
  <c r="G67" i="2"/>
  <c r="D67" i="2" s="1"/>
  <c r="F71" i="2"/>
  <c r="F75" i="2"/>
  <c r="F107" i="2"/>
  <c r="F113" i="2"/>
  <c r="D169" i="2"/>
  <c r="E193" i="2"/>
  <c r="E197" i="2"/>
  <c r="G189" i="2"/>
  <c r="D189" i="2" s="1"/>
  <c r="E183" i="2"/>
  <c r="F99" i="2"/>
  <c r="F127" i="2"/>
  <c r="G193" i="2"/>
  <c r="D193" i="2" s="1"/>
  <c r="M94" i="2"/>
  <c r="M87" i="2"/>
  <c r="F154" i="2"/>
  <c r="E88" i="2"/>
  <c r="E180" i="2"/>
  <c r="D98" i="2"/>
  <c r="E39" i="2"/>
  <c r="E200" i="2"/>
  <c r="E196" i="2"/>
  <c r="E168" i="2"/>
  <c r="E156" i="2"/>
  <c r="F144" i="2"/>
  <c r="F128" i="2"/>
  <c r="G39" i="2"/>
  <c r="D39" i="2" s="1"/>
  <c r="G60" i="2"/>
  <c r="D60" i="2" s="1"/>
  <c r="G78" i="2"/>
  <c r="D78" i="2" s="1"/>
  <c r="E78" i="2"/>
  <c r="E68" i="2"/>
  <c r="E72" i="2"/>
  <c r="E48" i="2"/>
  <c r="G68" i="2"/>
  <c r="D68" i="2" s="1"/>
  <c r="F62" i="2"/>
  <c r="D104" i="2"/>
  <c r="D106" i="2"/>
  <c r="F104" i="2"/>
  <c r="F106" i="2"/>
  <c r="E130" i="2"/>
  <c r="F138" i="2"/>
  <c r="D100" i="2"/>
  <c r="E182" i="2"/>
  <c r="D146" i="2"/>
  <c r="F116" i="2"/>
  <c r="F186" i="2"/>
  <c r="F90" i="2"/>
  <c r="F120" i="2"/>
  <c r="D130" i="2"/>
  <c r="F134" i="2"/>
  <c r="G205" i="2"/>
  <c r="D205" i="2" s="1"/>
  <c r="E205" i="2"/>
  <c r="M164" i="2"/>
  <c r="M150" i="2"/>
  <c r="F133" i="2"/>
  <c r="D133" i="2"/>
  <c r="E133" i="2"/>
  <c r="F117" i="2"/>
  <c r="D117" i="2"/>
  <c r="E117" i="2"/>
  <c r="M122" i="2"/>
  <c r="M80" i="2"/>
  <c r="F121" i="2"/>
  <c r="E191" i="2"/>
  <c r="E163" i="2"/>
  <c r="F147" i="2"/>
  <c r="E135" i="2"/>
  <c r="G63" i="2"/>
  <c r="D63" i="2" s="1"/>
  <c r="G77" i="2"/>
  <c r="D77" i="2" s="1"/>
  <c r="G79" i="2"/>
  <c r="D79" i="2" s="1"/>
  <c r="G49" i="2"/>
  <c r="D49" i="2" s="1"/>
  <c r="D161" i="2"/>
  <c r="E149" i="2"/>
  <c r="D177" i="2"/>
  <c r="D149" i="2"/>
  <c r="F177" i="2"/>
  <c r="F205" i="2"/>
  <c r="F170" i="2"/>
  <c r="D170" i="2"/>
  <c r="E170" i="2"/>
  <c r="F166" i="2"/>
  <c r="E166" i="2"/>
  <c r="M171" i="2"/>
  <c r="E142" i="2"/>
  <c r="M143" i="2"/>
  <c r="F126" i="2"/>
  <c r="D126" i="2"/>
  <c r="E126" i="2"/>
  <c r="E114" i="2"/>
  <c r="F114" i="2"/>
  <c r="M59" i="2"/>
  <c r="F92" i="2"/>
  <c r="E92" i="2"/>
  <c r="G81" i="2"/>
  <c r="D81" i="2" s="1"/>
  <c r="F81" i="2"/>
  <c r="M45" i="2"/>
  <c r="F195" i="2"/>
  <c r="G195" i="2"/>
  <c r="D195" i="2" s="1"/>
  <c r="D179" i="2"/>
  <c r="F179" i="2"/>
  <c r="F165" i="2"/>
  <c r="E165" i="2"/>
  <c r="F137" i="2"/>
  <c r="E137" i="2"/>
  <c r="D123" i="2"/>
  <c r="F123" i="2"/>
  <c r="F118" i="2"/>
  <c r="D118" i="2"/>
  <c r="E118" i="2"/>
  <c r="D109" i="2"/>
  <c r="E109" i="2"/>
  <c r="F158" i="2"/>
  <c r="E50" i="2"/>
  <c r="E60" i="2"/>
  <c r="F200" i="2"/>
  <c r="E144" i="2"/>
  <c r="F109" i="2"/>
  <c r="G91" i="2"/>
  <c r="D91" i="2" s="1"/>
  <c r="E46" i="2"/>
  <c r="E62" i="2"/>
  <c r="E64" i="2"/>
  <c r="G64" i="2"/>
  <c r="D64" i="2" s="1"/>
  <c r="D111" i="2"/>
  <c r="D113" i="2"/>
  <c r="F111" i="2"/>
  <c r="E123" i="2"/>
  <c r="D139" i="2"/>
  <c r="D141" i="2"/>
  <c r="F139" i="2"/>
  <c r="E160" i="2"/>
  <c r="D160" i="2"/>
  <c r="E162" i="2"/>
  <c r="D162" i="2"/>
  <c r="E167" i="2"/>
  <c r="D167" i="2"/>
  <c r="E186" i="2"/>
  <c r="E188" i="2"/>
  <c r="E190" i="2"/>
  <c r="E174" i="2"/>
  <c r="E146" i="2"/>
  <c r="E148" i="2"/>
  <c r="E132" i="2"/>
  <c r="E134" i="2"/>
  <c r="E195" i="2"/>
  <c r="G190" i="2"/>
  <c r="D190" i="2" s="1"/>
  <c r="F102" i="2"/>
  <c r="E151" i="2"/>
  <c r="F151" i="2"/>
  <c r="D137" i="2"/>
  <c r="F176" i="2"/>
  <c r="B1" i="10"/>
  <c r="F83" i="2"/>
  <c r="G83" i="2"/>
  <c r="D83" i="2" s="1"/>
  <c r="E83" i="2"/>
  <c r="G26" i="5"/>
  <c r="N29" i="3"/>
  <c r="D12" i="13" s="1"/>
  <c r="H154" i="3"/>
  <c r="J33" i="9"/>
  <c r="D20" i="3"/>
  <c r="C20" i="4"/>
  <c r="C20" i="5"/>
  <c r="G70" i="13" l="1"/>
  <c r="K70" i="13"/>
  <c r="G85" i="3" s="1"/>
  <c r="G1100" i="2"/>
  <c r="G1128" i="2"/>
  <c r="G970" i="2"/>
  <c r="D144" i="13"/>
  <c r="I207" i="1"/>
  <c r="J207" i="1" s="1"/>
  <c r="I163" i="1"/>
  <c r="J163" i="1" s="1"/>
  <c r="I164" i="1"/>
  <c r="J164" i="1" s="1"/>
  <c r="I131" i="1"/>
  <c r="J131" i="1" s="1"/>
  <c r="H185" i="3"/>
  <c r="J54" i="16" s="1"/>
  <c r="G72" i="13"/>
  <c r="G62" i="13"/>
  <c r="I72" i="13"/>
  <c r="G58" i="13"/>
  <c r="N795" i="2"/>
  <c r="I64" i="1" s="1"/>
  <c r="J64" i="1" s="1"/>
  <c r="M795" i="2"/>
  <c r="I63" i="1" s="1"/>
  <c r="I61" i="1"/>
  <c r="J61" i="1" s="1"/>
  <c r="G61" i="2"/>
  <c r="D61" i="2" s="1"/>
  <c r="F188" i="2"/>
  <c r="G188" i="2"/>
  <c r="D188" i="2" s="1"/>
  <c r="E112" i="2"/>
  <c r="G112" i="2"/>
  <c r="G96" i="2"/>
  <c r="D96" i="2" s="1"/>
  <c r="E125" i="2"/>
  <c r="G125" i="2"/>
  <c r="E103" i="2"/>
  <c r="G103" i="2"/>
  <c r="D103" i="2" s="1"/>
  <c r="E153" i="2"/>
  <c r="G153" i="2"/>
  <c r="D153" i="2" s="1"/>
  <c r="G131" i="2"/>
  <c r="D131" i="2" s="1"/>
  <c r="F110" i="2"/>
  <c r="G110" i="2"/>
  <c r="D110" i="2" s="1"/>
  <c r="G97" i="2"/>
  <c r="D97" i="2" s="1"/>
  <c r="G173" i="2"/>
  <c r="D173" i="2" s="1"/>
  <c r="G187" i="2"/>
  <c r="D187" i="2" s="1"/>
  <c r="F181" i="2"/>
  <c r="G181" i="2"/>
  <c r="I56" i="1"/>
  <c r="J56" i="1" s="1"/>
  <c r="I60" i="1"/>
  <c r="J60" i="1" s="1"/>
  <c r="M157" i="2"/>
  <c r="G262" i="2"/>
  <c r="I50" i="1" s="1"/>
  <c r="J50" i="1" s="1"/>
  <c r="G868" i="2"/>
  <c r="G942" i="2"/>
  <c r="I68" i="1" s="1"/>
  <c r="J68" i="1" s="1"/>
  <c r="F96" i="2"/>
  <c r="M52" i="2"/>
  <c r="G194" i="2"/>
  <c r="D194" i="2" s="1"/>
  <c r="M199" i="2"/>
  <c r="F194" i="2"/>
  <c r="D181" i="2"/>
  <c r="G201" i="2"/>
  <c r="D201" i="2" s="1"/>
  <c r="M73" i="2"/>
  <c r="H33" i="9"/>
  <c r="L32" i="9" s="1"/>
  <c r="K58" i="13"/>
  <c r="G1156" i="2"/>
  <c r="G1044" i="2"/>
  <c r="I73" i="1" s="1"/>
  <c r="J73" i="1" s="1"/>
  <c r="I120" i="1"/>
  <c r="J120" i="1" s="1"/>
  <c r="H47" i="9"/>
  <c r="G35" i="2"/>
  <c r="H78" i="9"/>
  <c r="H64" i="9"/>
  <c r="H54" i="9"/>
  <c r="H87" i="9"/>
  <c r="H76" i="9"/>
  <c r="H63" i="9"/>
  <c r="H52" i="9"/>
  <c r="H86" i="9"/>
  <c r="H72" i="9"/>
  <c r="H56" i="9"/>
  <c r="H84" i="9"/>
  <c r="H55" i="9"/>
  <c r="H68" i="9"/>
  <c r="H62" i="9"/>
  <c r="H60" i="9"/>
  <c r="H80" i="9"/>
  <c r="H70" i="9"/>
  <c r="H71" i="9"/>
  <c r="H79" i="9"/>
  <c r="H88" i="9"/>
  <c r="H44" i="9"/>
  <c r="H46" i="9"/>
  <c r="E131" i="2"/>
  <c r="M66" i="2"/>
  <c r="E173" i="2"/>
  <c r="D112" i="2"/>
  <c r="G47" i="2"/>
  <c r="D47" i="2" s="1"/>
  <c r="F131" i="2"/>
  <c r="E47" i="2"/>
  <c r="D16" i="13"/>
  <c r="I16" i="13" s="1"/>
  <c r="D28" i="13"/>
  <c r="K28" i="13" s="1"/>
  <c r="G45" i="3" s="1"/>
  <c r="D39" i="13"/>
  <c r="G39" i="13" s="1"/>
  <c r="D49" i="13"/>
  <c r="G49" i="13" s="1"/>
  <c r="I126" i="13"/>
  <c r="D137" i="13"/>
  <c r="I116" i="1"/>
  <c r="J116" i="1" s="1"/>
  <c r="D20" i="13"/>
  <c r="K20" i="13" s="1"/>
  <c r="G37" i="3" s="1"/>
  <c r="D41" i="13"/>
  <c r="I41" i="13" s="1"/>
  <c r="K47" i="9"/>
  <c r="M101" i="2"/>
  <c r="G64" i="13"/>
  <c r="D22" i="13"/>
  <c r="K22" i="13" s="1"/>
  <c r="G39" i="3" s="1"/>
  <c r="D45" i="13"/>
  <c r="K45" i="13" s="1"/>
  <c r="G62" i="3" s="1"/>
  <c r="D30" i="13"/>
  <c r="K30" i="13" s="1"/>
  <c r="G47" i="3" s="1"/>
  <c r="M192" i="2"/>
  <c r="K64" i="13"/>
  <c r="G79" i="3" s="1"/>
  <c r="D24" i="13"/>
  <c r="K24" i="13" s="1"/>
  <c r="G41" i="3" s="1"/>
  <c r="D47" i="13"/>
  <c r="G47" i="13" s="1"/>
  <c r="G157" i="5"/>
  <c r="G85" i="4"/>
  <c r="G234" i="2"/>
  <c r="I48" i="1" s="1"/>
  <c r="J48" i="1" s="1"/>
  <c r="I66" i="1"/>
  <c r="J66" i="1" s="1"/>
  <c r="G794" i="2"/>
  <c r="J63" i="1"/>
  <c r="G528" i="2"/>
  <c r="J55" i="1"/>
  <c r="J54" i="1"/>
  <c r="G202" i="2"/>
  <c r="D202" i="2" s="1"/>
  <c r="E201" i="2"/>
  <c r="E202" i="2"/>
  <c r="F187" i="2"/>
  <c r="E187" i="2"/>
  <c r="E181" i="2"/>
  <c r="M178" i="2"/>
  <c r="F173" i="2"/>
  <c r="M108" i="2"/>
  <c r="F103" i="2"/>
  <c r="E96" i="2"/>
  <c r="F61" i="2"/>
  <c r="I38" i="1"/>
  <c r="J38" i="1" s="1"/>
  <c r="E204" i="2"/>
  <c r="M129" i="2"/>
  <c r="M185" i="2"/>
  <c r="E203" i="2"/>
  <c r="M206" i="2"/>
  <c r="F203" i="2"/>
  <c r="F112" i="2"/>
  <c r="I45" i="13"/>
  <c r="K62" i="13"/>
  <c r="I39" i="13"/>
  <c r="G56" i="13"/>
  <c r="K56" i="13"/>
  <c r="I12" i="13"/>
  <c r="G66" i="13"/>
  <c r="I22" i="13"/>
  <c r="I14" i="13"/>
  <c r="G14" i="13"/>
  <c r="K126" i="13"/>
  <c r="G141" i="3" s="1"/>
  <c r="I121" i="1" s="1"/>
  <c r="J121" i="1" s="1"/>
  <c r="G126" i="13"/>
  <c r="G28" i="13"/>
  <c r="K26" i="13"/>
  <c r="G43" i="3" s="1"/>
  <c r="I43" i="13"/>
  <c r="D60" i="13"/>
  <c r="K60" i="13" s="1"/>
  <c r="I77" i="13"/>
  <c r="I18" i="13"/>
  <c r="I35" i="13"/>
  <c r="I51" i="13"/>
  <c r="D68" i="13"/>
  <c r="I68" i="13" s="1"/>
  <c r="G1072" i="2"/>
  <c r="G204" i="2"/>
  <c r="D204" i="2" s="1"/>
  <c r="D125" i="2"/>
  <c r="F125" i="2"/>
  <c r="E110" i="2"/>
  <c r="M115" i="2"/>
  <c r="F69" i="2"/>
  <c r="G69" i="2"/>
  <c r="D69" i="2" s="1"/>
  <c r="J53" i="1"/>
  <c r="K43" i="13"/>
  <c r="G60" i="3" s="1"/>
  <c r="G77" i="13"/>
  <c r="K51" i="13"/>
  <c r="G68" i="3" s="1"/>
  <c r="L38" i="9"/>
  <c r="L40" i="9"/>
  <c r="L39" i="9"/>
  <c r="I28" i="13" l="1"/>
  <c r="D139" i="13"/>
  <c r="G30" i="13"/>
  <c r="I220" i="1"/>
  <c r="J220" i="1" s="1"/>
  <c r="K49" i="13"/>
  <c r="G66" i="3" s="1"/>
  <c r="G41" i="13"/>
  <c r="G22" i="13"/>
  <c r="G16" i="13"/>
  <c r="K39" i="13"/>
  <c r="G56" i="3" s="1"/>
  <c r="I49" i="13"/>
  <c r="G45" i="13"/>
  <c r="G24" i="13"/>
  <c r="K16" i="13"/>
  <c r="G33" i="3" s="1"/>
  <c r="J56" i="9"/>
  <c r="J64" i="9" s="1"/>
  <c r="J72" i="9" s="1"/>
  <c r="J80" i="9" s="1"/>
  <c r="J88" i="9" s="1"/>
  <c r="J56" i="16"/>
  <c r="L30" i="9"/>
  <c r="L31" i="9"/>
  <c r="G20" i="13"/>
  <c r="J62" i="16"/>
  <c r="K54" i="16"/>
  <c r="L54" i="16" s="1"/>
  <c r="L28" i="9"/>
  <c r="I20" i="13"/>
  <c r="I30" i="13"/>
  <c r="J55" i="9"/>
  <c r="J63" i="9" s="1"/>
  <c r="J71" i="9" s="1"/>
  <c r="J79" i="9" s="1"/>
  <c r="J87" i="9" s="1"/>
  <c r="J55" i="16"/>
  <c r="J52" i="16"/>
  <c r="J52" i="9"/>
  <c r="J60" i="9" s="1"/>
  <c r="J68" i="9" s="1"/>
  <c r="J76" i="9" s="1"/>
  <c r="H65" i="9"/>
  <c r="H73" i="9"/>
  <c r="H81" i="9"/>
  <c r="H89" i="9"/>
  <c r="H57" i="9"/>
  <c r="H49" i="9"/>
  <c r="L47" i="9" s="1"/>
  <c r="K47" i="13"/>
  <c r="G64" i="3" s="1"/>
  <c r="I47" i="13"/>
  <c r="K41" i="13"/>
  <c r="G58" i="3" s="1"/>
  <c r="I24" i="13"/>
  <c r="I137" i="13"/>
  <c r="G137" i="13"/>
  <c r="K137" i="13"/>
  <c r="G152" i="3" s="1"/>
  <c r="G206" i="2"/>
  <c r="G1157" i="2" s="1"/>
  <c r="K12" i="13"/>
  <c r="G12" i="13"/>
  <c r="G26" i="13"/>
  <c r="I26" i="13"/>
  <c r="I54" i="13"/>
  <c r="K54" i="13"/>
  <c r="G54" i="13"/>
  <c r="I37" i="13"/>
  <c r="K37" i="13"/>
  <c r="G54" i="3" s="1"/>
  <c r="G37" i="13"/>
  <c r="I33" i="13"/>
  <c r="G33" i="13"/>
  <c r="K33" i="13"/>
  <c r="G18" i="13"/>
  <c r="G35" i="13"/>
  <c r="K35" i="13"/>
  <c r="I111" i="1" s="1"/>
  <c r="J111" i="1" s="1"/>
  <c r="G60" i="13"/>
  <c r="G51" i="13"/>
  <c r="K18" i="13"/>
  <c r="G35" i="3" s="1"/>
  <c r="G43" i="13"/>
  <c r="K68" i="13"/>
  <c r="G83" i="3" s="1"/>
  <c r="G68" i="13"/>
  <c r="I60" i="13"/>
  <c r="I129" i="13"/>
  <c r="K129" i="13"/>
  <c r="G144" i="3" s="1"/>
  <c r="G129" i="13"/>
  <c r="J63" i="16" l="1"/>
  <c r="K55" i="16"/>
  <c r="J70" i="16"/>
  <c r="K62" i="16"/>
  <c r="L62" i="16" s="1"/>
  <c r="J64" i="16"/>
  <c r="K56" i="16"/>
  <c r="G1158" i="2"/>
  <c r="J53" i="9"/>
  <c r="J61" i="9" s="1"/>
  <c r="J69" i="9" s="1"/>
  <c r="J77" i="9" s="1"/>
  <c r="J85" i="9" s="1"/>
  <c r="J53" i="16"/>
  <c r="J61" i="16" s="1"/>
  <c r="J69" i="16" s="1"/>
  <c r="J77" i="16" s="1"/>
  <c r="J85" i="16" s="1"/>
  <c r="K72" i="9"/>
  <c r="M72" i="9" s="1"/>
  <c r="N72" i="9" s="1"/>
  <c r="K71" i="9"/>
  <c r="M71" i="9" s="1"/>
  <c r="N71" i="9" s="1"/>
  <c r="K56" i="9"/>
  <c r="M56" i="9" s="1"/>
  <c r="N56" i="9" s="1"/>
  <c r="K55" i="9"/>
  <c r="M55" i="9" s="1"/>
  <c r="N55" i="9" s="1"/>
  <c r="K64" i="9"/>
  <c r="M64" i="9" s="1"/>
  <c r="N64" i="9" s="1"/>
  <c r="K63" i="9"/>
  <c r="M63" i="9" s="1"/>
  <c r="N63" i="9" s="1"/>
  <c r="J84" i="9"/>
  <c r="K88" i="9"/>
  <c r="M88" i="9" s="1"/>
  <c r="N88" i="9" s="1"/>
  <c r="K87" i="9"/>
  <c r="M87" i="9" s="1"/>
  <c r="N87" i="9" s="1"/>
  <c r="K80" i="9"/>
  <c r="M80" i="9" s="1"/>
  <c r="N80" i="9" s="1"/>
  <c r="K79" i="9"/>
  <c r="M79" i="9" s="1"/>
  <c r="N79" i="9" s="1"/>
  <c r="J60" i="16"/>
  <c r="K48" i="9"/>
  <c r="L48" i="9" s="1"/>
  <c r="L46" i="9"/>
  <c r="I115" i="1"/>
  <c r="J115" i="1" s="1"/>
  <c r="I112" i="1"/>
  <c r="J112" i="1" s="1"/>
  <c r="G154" i="3"/>
  <c r="G185" i="3" s="1"/>
  <c r="J54" i="9" s="1"/>
  <c r="I110" i="1"/>
  <c r="J110" i="1" s="1"/>
  <c r="I41" i="1"/>
  <c r="J41" i="1" s="1"/>
  <c r="K139" i="13"/>
  <c r="J45" i="9"/>
  <c r="J37" i="9"/>
  <c r="L63" i="9" l="1"/>
  <c r="J57" i="16"/>
  <c r="L71" i="9"/>
  <c r="L56" i="16"/>
  <c r="M56" i="16"/>
  <c r="N56" i="16" s="1"/>
  <c r="L72" i="9"/>
  <c r="J72" i="16"/>
  <c r="K64" i="16"/>
  <c r="J62" i="9"/>
  <c r="K54" i="9"/>
  <c r="L54" i="9" s="1"/>
  <c r="L79" i="9"/>
  <c r="K76" i="9"/>
  <c r="M76" i="9" s="1"/>
  <c r="N76" i="9" s="1"/>
  <c r="J78" i="16"/>
  <c r="K70" i="16"/>
  <c r="L70" i="16" s="1"/>
  <c r="M55" i="16"/>
  <c r="N55" i="16" s="1"/>
  <c r="L55" i="16"/>
  <c r="K52" i="16"/>
  <c r="M52" i="16" s="1"/>
  <c r="N52" i="16" s="1"/>
  <c r="J71" i="16"/>
  <c r="K63" i="16"/>
  <c r="L88" i="9"/>
  <c r="L80" i="9"/>
  <c r="L55" i="9"/>
  <c r="J68" i="16"/>
  <c r="K60" i="16"/>
  <c r="J65" i="16"/>
  <c r="K84" i="9"/>
  <c r="L64" i="9"/>
  <c r="L56" i="9"/>
  <c r="L87" i="9"/>
  <c r="M78" i="9"/>
  <c r="N78" i="9" s="1"/>
  <c r="M78" i="16"/>
  <c r="M62" i="16"/>
  <c r="M86" i="16"/>
  <c r="M70" i="16"/>
  <c r="M54" i="16"/>
  <c r="I160" i="1"/>
  <c r="I221" i="1" s="1"/>
  <c r="J221" i="1" s="1"/>
  <c r="M62" i="9"/>
  <c r="N62" i="9" s="1"/>
  <c r="M70" i="9"/>
  <c r="N70" i="9" s="1"/>
  <c r="M54" i="9"/>
  <c r="N54" i="9" s="1"/>
  <c r="M86" i="9"/>
  <c r="N86" i="9" s="1"/>
  <c r="K52" i="9"/>
  <c r="J57" i="9"/>
  <c r="K68" i="9"/>
  <c r="K60" i="9"/>
  <c r="K36" i="9"/>
  <c r="J41" i="9"/>
  <c r="J49" i="9"/>
  <c r="K44" i="9"/>
  <c r="L52" i="16" l="1"/>
  <c r="L76" i="9"/>
  <c r="J70" i="9"/>
  <c r="K62" i="9"/>
  <c r="L62" i="9" s="1"/>
  <c r="M63" i="16"/>
  <c r="N63" i="16" s="1"/>
  <c r="L63" i="16"/>
  <c r="L64" i="16"/>
  <c r="M64" i="16"/>
  <c r="N64" i="16" s="1"/>
  <c r="M81" i="9"/>
  <c r="M82" i="9" s="1"/>
  <c r="J79" i="16"/>
  <c r="K71" i="16"/>
  <c r="J80" i="16"/>
  <c r="K72" i="16"/>
  <c r="J86" i="16"/>
  <c r="K86" i="16" s="1"/>
  <c r="L86" i="16" s="1"/>
  <c r="K78" i="16"/>
  <c r="L78" i="16" s="1"/>
  <c r="J65" i="9"/>
  <c r="M84" i="9"/>
  <c r="N84" i="9" s="1"/>
  <c r="L84" i="9"/>
  <c r="M60" i="16"/>
  <c r="N60" i="16" s="1"/>
  <c r="L60" i="16"/>
  <c r="J76" i="16"/>
  <c r="J73" i="16"/>
  <c r="K68" i="16"/>
  <c r="N62" i="16"/>
  <c r="N54" i="16"/>
  <c r="M57" i="16"/>
  <c r="N78" i="16"/>
  <c r="N86" i="16"/>
  <c r="N70" i="16"/>
  <c r="J160" i="1"/>
  <c r="M89" i="9"/>
  <c r="M90" i="9" s="1"/>
  <c r="L60" i="9"/>
  <c r="M60" i="9"/>
  <c r="L68" i="9"/>
  <c r="M68" i="9"/>
  <c r="M52" i="9"/>
  <c r="L52" i="9"/>
  <c r="L44" i="9"/>
  <c r="K49" i="9"/>
  <c r="L36" i="9"/>
  <c r="K41" i="9"/>
  <c r="J87" i="16" l="1"/>
  <c r="K87" i="16" s="1"/>
  <c r="K79" i="16"/>
  <c r="M71" i="16"/>
  <c r="N71" i="16" s="1"/>
  <c r="L71" i="16"/>
  <c r="J88" i="16"/>
  <c r="K88" i="16" s="1"/>
  <c r="K80" i="16"/>
  <c r="M72" i="16"/>
  <c r="N72" i="16" s="1"/>
  <c r="L72" i="16"/>
  <c r="J78" i="9"/>
  <c r="K70" i="9"/>
  <c r="L70" i="9" s="1"/>
  <c r="J73" i="9"/>
  <c r="M65" i="16"/>
  <c r="L68" i="16"/>
  <c r="M68" i="16"/>
  <c r="J84" i="16"/>
  <c r="K76" i="16"/>
  <c r="J81" i="16"/>
  <c r="N52" i="9"/>
  <c r="M57" i="9"/>
  <c r="M58" i="9" s="1"/>
  <c r="N68" i="9"/>
  <c r="M73" i="9"/>
  <c r="M74" i="9" s="1"/>
  <c r="M65" i="9"/>
  <c r="M66" i="9" s="1"/>
  <c r="N60" i="9"/>
  <c r="J86" i="9" l="1"/>
  <c r="K78" i="9"/>
  <c r="L78" i="9" s="1"/>
  <c r="J81" i="9"/>
  <c r="M80" i="16"/>
  <c r="N80" i="16" s="1"/>
  <c r="L80" i="16"/>
  <c r="L88" i="16"/>
  <c r="M88" i="16"/>
  <c r="N88" i="16" s="1"/>
  <c r="M79" i="16"/>
  <c r="N79" i="16" s="1"/>
  <c r="L79" i="16"/>
  <c r="M87" i="16"/>
  <c r="N87" i="16" s="1"/>
  <c r="L87" i="16"/>
  <c r="L76" i="16"/>
  <c r="M76" i="16"/>
  <c r="J89" i="16"/>
  <c r="K84" i="16"/>
  <c r="N68" i="16"/>
  <c r="M73" i="16"/>
  <c r="K86" i="9" l="1"/>
  <c r="L86" i="9" s="1"/>
  <c r="J89" i="9"/>
  <c r="M84" i="16"/>
  <c r="L84" i="16"/>
  <c r="N76" i="16"/>
  <c r="M81" i="16"/>
  <c r="N84" i="16" l="1"/>
  <c r="M89" i="1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bangsdm</author>
  </authors>
  <commentList>
    <comment ref="I39" authorId="0" shapeId="0" xr:uid="{00000000-0006-0000-0100-000001000000}">
      <text>
        <r>
          <rPr>
            <b/>
            <sz val="9"/>
            <color indexed="81"/>
            <rFont val="Tahoma"/>
            <family val="2"/>
          </rPr>
          <t>sks</t>
        </r>
      </text>
    </comment>
    <comment ref="J39" authorId="0" shapeId="0" xr:uid="{00000000-0006-0000-0100-000002000000}">
      <text>
        <r>
          <rPr>
            <b/>
            <sz val="9"/>
            <color indexed="81"/>
            <rFont val="Tahoma"/>
            <family val="2"/>
          </rPr>
          <t>kelas</t>
        </r>
      </text>
    </comment>
    <comment ref="I46" authorId="0" shapeId="0" xr:uid="{00000000-0006-0000-0100-000003000000}">
      <text>
        <r>
          <rPr>
            <b/>
            <sz val="9"/>
            <color indexed="81"/>
            <rFont val="Tahoma"/>
            <family val="2"/>
          </rPr>
          <t>sks</t>
        </r>
      </text>
    </comment>
    <comment ref="J46" authorId="0" shapeId="0" xr:uid="{00000000-0006-0000-0100-000004000000}">
      <text>
        <r>
          <rPr>
            <b/>
            <sz val="9"/>
            <color indexed="81"/>
            <rFont val="Tahoma"/>
            <family val="2"/>
          </rPr>
          <t>kelas</t>
        </r>
      </text>
    </comment>
    <comment ref="I53" authorId="0" shapeId="0" xr:uid="{00000000-0006-0000-0100-000005000000}">
      <text>
        <r>
          <rPr>
            <b/>
            <sz val="9"/>
            <color indexed="81"/>
            <rFont val="Tahoma"/>
            <family val="2"/>
          </rPr>
          <t>sks</t>
        </r>
      </text>
    </comment>
    <comment ref="J53" authorId="0" shapeId="0" xr:uid="{00000000-0006-0000-0100-000006000000}">
      <text>
        <r>
          <rPr>
            <b/>
            <sz val="9"/>
            <color indexed="81"/>
            <rFont val="Tahoma"/>
            <family val="2"/>
          </rPr>
          <t>kelas</t>
        </r>
      </text>
    </comment>
    <comment ref="I60" authorId="0" shapeId="0" xr:uid="{00000000-0006-0000-0100-000007000000}">
      <text>
        <r>
          <rPr>
            <b/>
            <sz val="9"/>
            <color indexed="81"/>
            <rFont val="Tahoma"/>
            <family val="2"/>
          </rPr>
          <t>sks</t>
        </r>
      </text>
    </comment>
    <comment ref="J60" authorId="0" shapeId="0" xr:uid="{00000000-0006-0000-0100-000008000000}">
      <text>
        <r>
          <rPr>
            <b/>
            <sz val="9"/>
            <color indexed="81"/>
            <rFont val="Tahoma"/>
            <family val="2"/>
          </rPr>
          <t>kelas</t>
        </r>
      </text>
    </comment>
    <comment ref="I67" authorId="0" shapeId="0" xr:uid="{00000000-0006-0000-0100-000009000000}">
      <text>
        <r>
          <rPr>
            <b/>
            <sz val="9"/>
            <color indexed="81"/>
            <rFont val="Tahoma"/>
            <family val="2"/>
          </rPr>
          <t>sks</t>
        </r>
      </text>
    </comment>
    <comment ref="J67" authorId="0" shapeId="0" xr:uid="{00000000-0006-0000-0100-00000A000000}">
      <text>
        <r>
          <rPr>
            <b/>
            <sz val="9"/>
            <color indexed="81"/>
            <rFont val="Tahoma"/>
            <family val="2"/>
          </rPr>
          <t>kelas</t>
        </r>
      </text>
    </comment>
    <comment ref="I74" authorId="0" shapeId="0" xr:uid="{00000000-0006-0000-0100-00000B000000}">
      <text>
        <r>
          <rPr>
            <b/>
            <sz val="9"/>
            <color indexed="81"/>
            <rFont val="Tahoma"/>
            <family val="2"/>
          </rPr>
          <t>sks</t>
        </r>
      </text>
    </comment>
    <comment ref="J74" authorId="0" shapeId="0" xr:uid="{00000000-0006-0000-0100-00000C000000}">
      <text>
        <r>
          <rPr>
            <b/>
            <sz val="9"/>
            <color indexed="81"/>
            <rFont val="Tahoma"/>
            <family val="2"/>
          </rPr>
          <t>kelas</t>
        </r>
      </text>
    </comment>
    <comment ref="I81" authorId="0" shapeId="0" xr:uid="{00000000-0006-0000-0100-00000D000000}">
      <text>
        <r>
          <rPr>
            <b/>
            <sz val="9"/>
            <color indexed="81"/>
            <rFont val="Tahoma"/>
            <family val="2"/>
          </rPr>
          <t>sks</t>
        </r>
      </text>
    </comment>
    <comment ref="J81" authorId="0" shapeId="0" xr:uid="{00000000-0006-0000-0100-00000E000000}">
      <text>
        <r>
          <rPr>
            <b/>
            <sz val="9"/>
            <color indexed="81"/>
            <rFont val="Tahoma"/>
            <family val="2"/>
          </rPr>
          <t>kelas</t>
        </r>
      </text>
    </comment>
    <comment ref="I88" authorId="0" shapeId="0" xr:uid="{00000000-0006-0000-0100-00000F000000}">
      <text>
        <r>
          <rPr>
            <b/>
            <sz val="9"/>
            <color indexed="81"/>
            <rFont val="Tahoma"/>
            <family val="2"/>
          </rPr>
          <t>sks</t>
        </r>
      </text>
    </comment>
    <comment ref="J88" authorId="0" shapeId="0" xr:uid="{00000000-0006-0000-0100-000010000000}">
      <text>
        <r>
          <rPr>
            <b/>
            <sz val="9"/>
            <color indexed="81"/>
            <rFont val="Tahoma"/>
            <family val="2"/>
          </rPr>
          <t>kelas</t>
        </r>
      </text>
    </comment>
    <comment ref="I95" authorId="0" shapeId="0" xr:uid="{00000000-0006-0000-0100-000011000000}">
      <text>
        <r>
          <rPr>
            <b/>
            <sz val="9"/>
            <color indexed="81"/>
            <rFont val="Tahoma"/>
            <family val="2"/>
          </rPr>
          <t>sks</t>
        </r>
      </text>
    </comment>
    <comment ref="J95" authorId="0" shapeId="0" xr:uid="{00000000-0006-0000-0100-000012000000}">
      <text>
        <r>
          <rPr>
            <b/>
            <sz val="9"/>
            <color indexed="81"/>
            <rFont val="Tahoma"/>
            <family val="2"/>
          </rPr>
          <t>kelas</t>
        </r>
      </text>
    </comment>
    <comment ref="I102" authorId="0" shapeId="0" xr:uid="{00000000-0006-0000-0100-000013000000}">
      <text>
        <r>
          <rPr>
            <b/>
            <sz val="9"/>
            <color indexed="81"/>
            <rFont val="Tahoma"/>
            <family val="2"/>
          </rPr>
          <t>sks</t>
        </r>
      </text>
    </comment>
    <comment ref="J102" authorId="0" shapeId="0" xr:uid="{00000000-0006-0000-0100-000014000000}">
      <text>
        <r>
          <rPr>
            <b/>
            <sz val="9"/>
            <color indexed="81"/>
            <rFont val="Tahoma"/>
            <family val="2"/>
          </rPr>
          <t>kelas</t>
        </r>
      </text>
    </comment>
    <comment ref="I109" authorId="0" shapeId="0" xr:uid="{00000000-0006-0000-0100-000015000000}">
      <text>
        <r>
          <rPr>
            <b/>
            <sz val="9"/>
            <color indexed="81"/>
            <rFont val="Tahoma"/>
            <family val="2"/>
          </rPr>
          <t>sks</t>
        </r>
      </text>
    </comment>
    <comment ref="J109" authorId="0" shapeId="0" xr:uid="{00000000-0006-0000-0100-000016000000}">
      <text>
        <r>
          <rPr>
            <b/>
            <sz val="9"/>
            <color indexed="81"/>
            <rFont val="Tahoma"/>
            <family val="2"/>
          </rPr>
          <t>kelas</t>
        </r>
      </text>
    </comment>
    <comment ref="I116" authorId="0" shapeId="0" xr:uid="{00000000-0006-0000-0100-000017000000}">
      <text>
        <r>
          <rPr>
            <b/>
            <sz val="9"/>
            <color indexed="81"/>
            <rFont val="Tahoma"/>
            <family val="2"/>
          </rPr>
          <t>sks</t>
        </r>
      </text>
    </comment>
    <comment ref="J116" authorId="0" shapeId="0" xr:uid="{00000000-0006-0000-0100-000018000000}">
      <text>
        <r>
          <rPr>
            <b/>
            <sz val="9"/>
            <color indexed="81"/>
            <rFont val="Tahoma"/>
            <family val="2"/>
          </rPr>
          <t>kelas</t>
        </r>
      </text>
    </comment>
    <comment ref="I123" authorId="0" shapeId="0" xr:uid="{00000000-0006-0000-0100-000019000000}">
      <text>
        <r>
          <rPr>
            <b/>
            <sz val="9"/>
            <color indexed="81"/>
            <rFont val="Tahoma"/>
            <family val="2"/>
          </rPr>
          <t>sks</t>
        </r>
      </text>
    </comment>
    <comment ref="J123" authorId="0" shapeId="0" xr:uid="{00000000-0006-0000-0100-00001A000000}">
      <text>
        <r>
          <rPr>
            <b/>
            <sz val="9"/>
            <color indexed="81"/>
            <rFont val="Tahoma"/>
            <family val="2"/>
          </rPr>
          <t>kelas</t>
        </r>
      </text>
    </comment>
    <comment ref="I130" authorId="0" shapeId="0" xr:uid="{00000000-0006-0000-0100-00001B000000}">
      <text>
        <r>
          <rPr>
            <b/>
            <sz val="9"/>
            <color indexed="81"/>
            <rFont val="Tahoma"/>
            <family val="2"/>
          </rPr>
          <t>sks</t>
        </r>
      </text>
    </comment>
    <comment ref="J130" authorId="0" shapeId="0" xr:uid="{00000000-0006-0000-0100-00001C000000}">
      <text>
        <r>
          <rPr>
            <b/>
            <sz val="9"/>
            <color indexed="81"/>
            <rFont val="Tahoma"/>
            <family val="2"/>
          </rPr>
          <t>kelas</t>
        </r>
      </text>
    </comment>
    <comment ref="I137" authorId="0" shapeId="0" xr:uid="{00000000-0006-0000-0100-00001D000000}">
      <text>
        <r>
          <rPr>
            <b/>
            <sz val="9"/>
            <color indexed="81"/>
            <rFont val="Tahoma"/>
            <family val="2"/>
          </rPr>
          <t>sks</t>
        </r>
      </text>
    </comment>
    <comment ref="J137" authorId="0" shapeId="0" xr:uid="{00000000-0006-0000-0100-00001E000000}">
      <text>
        <r>
          <rPr>
            <b/>
            <sz val="9"/>
            <color indexed="81"/>
            <rFont val="Tahoma"/>
            <family val="2"/>
          </rPr>
          <t>kelas</t>
        </r>
      </text>
    </comment>
    <comment ref="I144" authorId="0" shapeId="0" xr:uid="{00000000-0006-0000-0100-00001F000000}">
      <text>
        <r>
          <rPr>
            <b/>
            <sz val="9"/>
            <color indexed="81"/>
            <rFont val="Tahoma"/>
            <family val="2"/>
          </rPr>
          <t>sks</t>
        </r>
      </text>
    </comment>
    <comment ref="J144" authorId="0" shapeId="0" xr:uid="{00000000-0006-0000-0100-000020000000}">
      <text>
        <r>
          <rPr>
            <b/>
            <sz val="9"/>
            <color indexed="81"/>
            <rFont val="Tahoma"/>
            <family val="2"/>
          </rPr>
          <t>kelas</t>
        </r>
      </text>
    </comment>
    <comment ref="I151" authorId="0" shapeId="0" xr:uid="{00000000-0006-0000-0100-000021000000}">
      <text>
        <r>
          <rPr>
            <b/>
            <sz val="9"/>
            <color indexed="81"/>
            <rFont val="Tahoma"/>
            <family val="2"/>
          </rPr>
          <t>sks</t>
        </r>
      </text>
    </comment>
    <comment ref="J151" authorId="0" shapeId="0" xr:uid="{00000000-0006-0000-0100-000022000000}">
      <text>
        <r>
          <rPr>
            <b/>
            <sz val="9"/>
            <color indexed="81"/>
            <rFont val="Tahoma"/>
            <family val="2"/>
          </rPr>
          <t>kelas</t>
        </r>
      </text>
    </comment>
    <comment ref="I158" authorId="0" shapeId="0" xr:uid="{00000000-0006-0000-0100-000023000000}">
      <text>
        <r>
          <rPr>
            <b/>
            <sz val="9"/>
            <color indexed="81"/>
            <rFont val="Tahoma"/>
            <family val="2"/>
          </rPr>
          <t>sks</t>
        </r>
      </text>
    </comment>
    <comment ref="J158" authorId="0" shapeId="0" xr:uid="{00000000-0006-0000-0100-000024000000}">
      <text>
        <r>
          <rPr>
            <b/>
            <sz val="9"/>
            <color indexed="81"/>
            <rFont val="Tahoma"/>
            <family val="2"/>
          </rPr>
          <t>kelas</t>
        </r>
      </text>
    </comment>
    <comment ref="I159" authorId="0" shapeId="0" xr:uid="{00000000-0006-0000-0100-000025000000}">
      <text>
        <r>
          <rPr>
            <b/>
            <sz val="9"/>
            <color indexed="81"/>
            <rFont val="Tahoma"/>
            <family val="2"/>
          </rPr>
          <t>sks</t>
        </r>
      </text>
    </comment>
    <comment ref="J159" authorId="0" shapeId="0" xr:uid="{00000000-0006-0000-0100-000026000000}">
      <text>
        <r>
          <rPr>
            <b/>
            <sz val="9"/>
            <color indexed="81"/>
            <rFont val="Tahoma"/>
            <family val="2"/>
          </rPr>
          <t>kelas</t>
        </r>
      </text>
    </comment>
    <comment ref="I165" authorId="0" shapeId="0" xr:uid="{00000000-0006-0000-0100-000027000000}">
      <text>
        <r>
          <rPr>
            <b/>
            <sz val="9"/>
            <color indexed="81"/>
            <rFont val="Tahoma"/>
            <family val="2"/>
          </rPr>
          <t>sks</t>
        </r>
      </text>
    </comment>
    <comment ref="J165" authorId="0" shapeId="0" xr:uid="{00000000-0006-0000-0100-000028000000}">
      <text>
        <r>
          <rPr>
            <b/>
            <sz val="9"/>
            <color indexed="81"/>
            <rFont val="Tahoma"/>
            <family val="2"/>
          </rPr>
          <t>kelas</t>
        </r>
      </text>
    </comment>
    <comment ref="I172" authorId="0" shapeId="0" xr:uid="{00000000-0006-0000-0100-000029000000}">
      <text>
        <r>
          <rPr>
            <b/>
            <sz val="9"/>
            <color indexed="81"/>
            <rFont val="Tahoma"/>
            <family val="2"/>
          </rPr>
          <t>sks</t>
        </r>
      </text>
    </comment>
    <comment ref="J172" authorId="0" shapeId="0" xr:uid="{00000000-0006-0000-0100-00002A000000}">
      <text>
        <r>
          <rPr>
            <b/>
            <sz val="9"/>
            <color indexed="81"/>
            <rFont val="Tahoma"/>
            <family val="2"/>
          </rPr>
          <t>kelas</t>
        </r>
      </text>
    </comment>
    <comment ref="I179" authorId="0" shapeId="0" xr:uid="{00000000-0006-0000-0100-00002B000000}">
      <text>
        <r>
          <rPr>
            <b/>
            <sz val="9"/>
            <color indexed="81"/>
            <rFont val="Tahoma"/>
            <family val="2"/>
          </rPr>
          <t>sks</t>
        </r>
      </text>
    </comment>
    <comment ref="J179" authorId="0" shapeId="0" xr:uid="{00000000-0006-0000-0100-00002C000000}">
      <text>
        <r>
          <rPr>
            <b/>
            <sz val="9"/>
            <color indexed="81"/>
            <rFont val="Tahoma"/>
            <family val="2"/>
          </rPr>
          <t>kelas</t>
        </r>
      </text>
    </comment>
    <comment ref="I186" authorId="0" shapeId="0" xr:uid="{00000000-0006-0000-0100-00002D000000}">
      <text>
        <r>
          <rPr>
            <b/>
            <sz val="9"/>
            <color indexed="81"/>
            <rFont val="Tahoma"/>
            <family val="2"/>
          </rPr>
          <t>sks</t>
        </r>
      </text>
    </comment>
    <comment ref="J186" authorId="0" shapeId="0" xr:uid="{00000000-0006-0000-0100-00002E000000}">
      <text>
        <r>
          <rPr>
            <b/>
            <sz val="9"/>
            <color indexed="81"/>
            <rFont val="Tahoma"/>
            <family val="2"/>
          </rPr>
          <t>kelas</t>
        </r>
      </text>
    </comment>
    <comment ref="I193" authorId="0" shapeId="0" xr:uid="{00000000-0006-0000-0100-00002F000000}">
      <text>
        <r>
          <rPr>
            <b/>
            <sz val="9"/>
            <color indexed="81"/>
            <rFont val="Tahoma"/>
            <family val="2"/>
          </rPr>
          <t>sks</t>
        </r>
      </text>
    </comment>
    <comment ref="J193" authorId="0" shapeId="0" xr:uid="{00000000-0006-0000-0100-000030000000}">
      <text>
        <r>
          <rPr>
            <b/>
            <sz val="9"/>
            <color indexed="81"/>
            <rFont val="Tahoma"/>
            <family val="2"/>
          </rPr>
          <t>kelas</t>
        </r>
      </text>
    </comment>
    <comment ref="I200" authorId="0" shapeId="0" xr:uid="{00000000-0006-0000-0100-000031000000}">
      <text>
        <r>
          <rPr>
            <b/>
            <sz val="9"/>
            <color indexed="81"/>
            <rFont val="Tahoma"/>
            <family val="2"/>
          </rPr>
          <t>sks</t>
        </r>
      </text>
    </comment>
    <comment ref="J200" authorId="0" shapeId="0" xr:uid="{00000000-0006-0000-0100-000032000000}">
      <text>
        <r>
          <rPr>
            <b/>
            <sz val="9"/>
            <color indexed="81"/>
            <rFont val="Tahoma"/>
            <family val="2"/>
          </rPr>
          <t>kelas</t>
        </r>
      </text>
    </comment>
    <comment ref="I201" authorId="0" shapeId="0" xr:uid="{00000000-0006-0000-0100-000033000000}">
      <text>
        <r>
          <rPr>
            <b/>
            <sz val="9"/>
            <color indexed="81"/>
            <rFont val="Tahoma"/>
            <family val="2"/>
          </rPr>
          <t>sks</t>
        </r>
      </text>
    </comment>
    <comment ref="J201" authorId="0" shapeId="0" xr:uid="{00000000-0006-0000-0100-000034000000}">
      <text>
        <r>
          <rPr>
            <b/>
            <sz val="9"/>
            <color indexed="81"/>
            <rFont val="Tahoma"/>
            <family val="2"/>
          </rPr>
          <t>kelas</t>
        </r>
      </text>
    </comment>
  </commentList>
</comments>
</file>

<file path=xl/sharedStrings.xml><?xml version="1.0" encoding="utf-8"?>
<sst xmlns="http://schemas.openxmlformats.org/spreadsheetml/2006/main" count="5599" uniqueCount="1075">
  <si>
    <t xml:space="preserve">Pendidikan dan Kebudayaan </t>
  </si>
  <si>
    <t>dan Kepala Badan Kepegawaian Negara</t>
  </si>
  <si>
    <t>I</t>
  </si>
  <si>
    <t>Nama</t>
  </si>
  <si>
    <t>Jenis Kelamin</t>
  </si>
  <si>
    <t>Pendidikan Tertinggi</t>
  </si>
  <si>
    <t>Fakultas/Jurusan</t>
  </si>
  <si>
    <t>Unit Kerja</t>
  </si>
  <si>
    <t>Tempat dan Tanggal Lahir</t>
  </si>
  <si>
    <t>Baru</t>
  </si>
  <si>
    <t>II</t>
  </si>
  <si>
    <t>ANGKA KREDIT MENURUT</t>
  </si>
  <si>
    <t>TIM PENILAI</t>
  </si>
  <si>
    <t>BARU</t>
  </si>
  <si>
    <t>LAMA</t>
  </si>
  <si>
    <t>A</t>
  </si>
  <si>
    <t>JUMLAH</t>
  </si>
  <si>
    <t>B</t>
  </si>
  <si>
    <t>Membimbing Kuliah Kerja Nyata (KKN), Praktek Kerja Nyata (PKN), Praktek Kerja Lapangan (PKL)</t>
  </si>
  <si>
    <t>Bertugas sebagai penguji pada Ujian Akhir</t>
  </si>
  <si>
    <t>Mengembangkan program kuliah</t>
  </si>
  <si>
    <t>Menyampaikan Orasi Ilmiah</t>
  </si>
  <si>
    <t>Menduduki jabatan pimpinan perguruan tinggi</t>
  </si>
  <si>
    <t>Menghasilkan karya ilmiah</t>
  </si>
  <si>
    <t>Mengedit/menyunting karya ilmiah</t>
  </si>
  <si>
    <t>Membuat rancangan dan karya teknologi yang dipatenkan</t>
  </si>
  <si>
    <t>Membuat/menulis karya pengabdian pada masyarakat yang tidak dipublikasikan</t>
  </si>
  <si>
    <t>Menjadi anggota dalam suatu Panitia/Badan pada Perguruan Tinggi</t>
  </si>
  <si>
    <t>Menjadi Anggota Organisasi Profesi</t>
  </si>
  <si>
    <t>Berperan serta aktif dalam pertemuan ilmiah</t>
  </si>
  <si>
    <t>Menulis buku pelajaran SLTA, kebawah yang diterbitkan dan diedarkan secara nasional</t>
  </si>
  <si>
    <t>Mempunyai prestasi dibidang olah raga/humaniora</t>
  </si>
  <si>
    <t>III</t>
  </si>
  <si>
    <t>IV</t>
  </si>
  <si>
    <t xml:space="preserve">KETERANGAN PERORANGAN </t>
  </si>
  <si>
    <t xml:space="preserve">SURAT PERNYATAAN </t>
  </si>
  <si>
    <t>MELAKSANAKAN KEGIATAN PENDIDIKAN  DAN PENGAJARAN</t>
  </si>
  <si>
    <t>Yang bertanda tangan di bawah ini:</t>
  </si>
  <si>
    <t>Jabatan Fungsional</t>
  </si>
  <si>
    <t>Pangkat/Golongan Ruang</t>
  </si>
  <si>
    <t xml:space="preserve">Jabatan Fungsional </t>
  </si>
  <si>
    <t>Telah Melakukan Kegiatan Pendidikan dan Pengajaran Sebagai Berikut</t>
  </si>
  <si>
    <t>NO</t>
  </si>
  <si>
    <t>KEGIATAN PENDIDIKAN DAN PENGAJARAN</t>
  </si>
  <si>
    <t>KETERANGAN BUKTI FISIK</t>
  </si>
  <si>
    <t>TANGGAL</t>
  </si>
  <si>
    <t>JUMLAH ANGKA KREDIT</t>
  </si>
  <si>
    <t>NAMA</t>
  </si>
  <si>
    <t>JABATAN FUNGSIONAL</t>
  </si>
  <si>
    <t>UNIT KERJA</t>
  </si>
  <si>
    <t>NAMA JUDUL KARYA ILMIAH (UNSUR)</t>
  </si>
  <si>
    <t>Lampiran IV Keputusan Bersama Menteri</t>
  </si>
  <si>
    <t>KEGIATAN PENGABDIAN PADA MASYARAKAT</t>
  </si>
  <si>
    <t>Demikian pernyataan ini dibuat untuk dapat dipergunakan sebagaimana mestinya.</t>
  </si>
  <si>
    <t>Catatan</t>
  </si>
  <si>
    <t>1. Dibuat per semester</t>
  </si>
  <si>
    <t>3. Dilampirkan bukti-bukti kegiatan tersebut</t>
  </si>
  <si>
    <t>Lampiran V Keputusan Bersama Menteri</t>
  </si>
  <si>
    <t>KEGIATAN PENUNJANG TRIDHARMA PERGURUAN TINGGI</t>
  </si>
  <si>
    <t>2. Ditanda tangani oleh Ketua Jurusan pada Universitas/Institut/Sekolah Tinggi/Akademik/Politeknik</t>
  </si>
  <si>
    <t>MELAKSANAKAN KEGIATAN PENGABDIAN PADA MASYARAKAT</t>
  </si>
  <si>
    <t>Menyatakan Bahwa</t>
  </si>
  <si>
    <t>Telah Melakukan Kegiatan Pengabdian Pada Masyarakat sebagai berikut:</t>
  </si>
  <si>
    <t>Telah Melakukan Kegiatan Penunjang Tridharma Perguruan Tinggi sebagai berikut:</t>
  </si>
  <si>
    <t>Membuat rancangan dan karya teknologi, rancangan dan karya seni/monumental/seni pertunjukan/karya sastra</t>
  </si>
  <si>
    <t>Menerjemahkan/menyadur/buku ilmiah</t>
  </si>
  <si>
    <t>-</t>
  </si>
  <si>
    <t>Jumlah</t>
  </si>
  <si>
    <t>Petunjuk</t>
  </si>
  <si>
    <t>: Kotak berwarna HIJAU untuk dipilih sesuai pilihan yang ada</t>
  </si>
  <si>
    <t>: Kotak berwarna KUNING untuk diisi</t>
  </si>
  <si>
    <t>: Kotak berwarna MERAH rumus</t>
  </si>
  <si>
    <t>sks</t>
  </si>
  <si>
    <t>kelas</t>
  </si>
  <si>
    <t>a.Rektor</t>
  </si>
  <si>
    <t>Nama :</t>
  </si>
  <si>
    <t>Judul  :</t>
  </si>
  <si>
    <t>penulis</t>
  </si>
  <si>
    <t>kriteria karya ilmiah</t>
  </si>
  <si>
    <t>Rancangan /Karya Teknologi :</t>
  </si>
  <si>
    <t>Rancangan /Karya Seni :</t>
  </si>
  <si>
    <t>nama mk, sks, kls</t>
  </si>
  <si>
    <t xml:space="preserve">Memberi latihan/peyuluhan/penataran/ceramah pada masyarakat
</t>
  </si>
  <si>
    <t>a.1).Terjadwal/terprogram Dalam satu semester atau lebih Tingkat Internasional tiap program</t>
  </si>
  <si>
    <t>a.2).Terjadwal/terprogram Dalam satu semester atau lebih Tingkat Nasional tiap program</t>
  </si>
  <si>
    <t>a.3).Terjadwal/terprogram Dalam satu semester atau lebih Tingkat Lokal tiap program</t>
  </si>
  <si>
    <t>a.4).Terjadwal/terprogram Kurang dari satu semester dan minimal satu bulan Tingkat Internasional tiap program</t>
  </si>
  <si>
    <t>a.5).Terjadwal/terprogram Kurang dari satu semester dan minimal satu bulan Tingkat Nasional tiap program</t>
  </si>
  <si>
    <t>a.6).Terjadwal/terprogram Kurang dari satu semester dan minimal satu bulan Tingkat Lokal tiap program</t>
  </si>
  <si>
    <t>b.Insidental, tiap kegiatan program</t>
  </si>
  <si>
    <t xml:space="preserve">Menjadi anggota Panitia/Badan pada Lembaga Pemerintah
</t>
  </si>
  <si>
    <t xml:space="preserve">Menjadi Anggota Delegasi Nasional ke pertemuan Internasional
</t>
  </si>
  <si>
    <t>a.1). Tingkat Internasional/Nasional/Regional sebagai Ketua, tiap kegiatan</t>
  </si>
  <si>
    <t>a.2). Tingkat Internasional/Nasional/Regional sebagai Anggota/peserta, tiap kegiatan</t>
  </si>
  <si>
    <t>b.1). Di Lingkungan Perguruan Tinggi sebagai Ketua, tiap kegiatan</t>
  </si>
  <si>
    <t>b.2). Di Lingkungan Perguruan Tinggi sebagai Anggota/peserta, tiap kegiatan</t>
  </si>
  <si>
    <t>NIP/NIDN</t>
  </si>
  <si>
    <t>nama mhs (nim)</t>
  </si>
  <si>
    <t>kegiatan</t>
  </si>
  <si>
    <t>mata kuliah</t>
  </si>
  <si>
    <t>makalah / buku</t>
  </si>
  <si>
    <t>posisi</t>
  </si>
  <si>
    <t>karya</t>
  </si>
  <si>
    <t>nama penghargaan</t>
  </si>
  <si>
    <t>judul buku</t>
  </si>
  <si>
    <t>prestasi</t>
  </si>
  <si>
    <t>Masa Kerja</t>
  </si>
  <si>
    <t>Lama</t>
  </si>
  <si>
    <t>2010/2011</t>
  </si>
  <si>
    <t>SK terlampir</t>
  </si>
  <si>
    <t>a. Semester Gasal :</t>
  </si>
  <si>
    <t>b. Semester Genap :</t>
  </si>
  <si>
    <t>2011/2012</t>
  </si>
  <si>
    <t>2012/2013</t>
  </si>
  <si>
    <t>2013/2014</t>
  </si>
  <si>
    <t>Pendidikan Formal</t>
  </si>
  <si>
    <t>Diklat Pra Jabatan</t>
  </si>
  <si>
    <t>Pelaksanaan Pendidikan</t>
  </si>
  <si>
    <t>C</t>
  </si>
  <si>
    <t>D</t>
  </si>
  <si>
    <t>E</t>
  </si>
  <si>
    <t>F</t>
  </si>
  <si>
    <t>G</t>
  </si>
  <si>
    <t>H</t>
  </si>
  <si>
    <t>K</t>
  </si>
  <si>
    <t>J</t>
  </si>
  <si>
    <t>L</t>
  </si>
  <si>
    <t>Membimbing dan ikut membimbing dalam menghasilkan disertasi, tesis, skripsi dan laporan akhir studi</t>
  </si>
  <si>
    <t>Membina kegiatan mahasiswa</t>
  </si>
  <si>
    <t>M</t>
  </si>
  <si>
    <t>Melakukan kegiatan pengembangan diri untuk meningkatkan kompetensi</t>
  </si>
  <si>
    <t>Pendidikan</t>
  </si>
  <si>
    <t>Pelaksanaan Penelitian</t>
  </si>
  <si>
    <t>Pelaksana Pengabdian kepada Masyarakat</t>
  </si>
  <si>
    <t>Menduduki jabatan pimpinan</t>
  </si>
  <si>
    <t>V</t>
  </si>
  <si>
    <t>Penunjang Kegiatan Akademik Dosen</t>
  </si>
  <si>
    <t>Mewakili Perguruan Tinggi/Lembaga Pemerintah</t>
  </si>
  <si>
    <t>Pendidikan S2</t>
  </si>
  <si>
    <t>Pendidikan S3</t>
  </si>
  <si>
    <t>Jumlah I</t>
  </si>
  <si>
    <t>2004/2005</t>
  </si>
  <si>
    <t>2005/2006</t>
  </si>
  <si>
    <t>2006/2007</t>
  </si>
  <si>
    <t>2007/2008</t>
  </si>
  <si>
    <t>2008/2009</t>
  </si>
  <si>
    <t>2009/2010</t>
  </si>
  <si>
    <t>Membimbing seminar</t>
  </si>
  <si>
    <t>b. Semester Genap:</t>
  </si>
  <si>
    <t>buku ajar/diktat/modul</t>
  </si>
  <si>
    <t>b.Pembantu rektor/dekan/direktur program pasca sarjana</t>
  </si>
  <si>
    <t>c.Ketua sekolah tinggi/pembantu dekan/asisten direktur program pasca sarjana/direktur politeknik</t>
  </si>
  <si>
    <t>d.Pembantu ketua sekolah tinggi/pembantu direktur politeknik</t>
  </si>
  <si>
    <t>e.Direktur akademi</t>
  </si>
  <si>
    <t>f.Pembantu direktur akademi/ketua jurusan/bagian pada universitas/institut/sekolah tinggi</t>
  </si>
  <si>
    <t>g.Ketua jurusan pada politeknik/akademi/sekretaris jurusan/bagian pada universitas/institu/sekolah tinggi</t>
  </si>
  <si>
    <t>h.Sekretaris jurusan pada politeknik/akademi dan kepala laboratorium universitas/institut/sekolah tinggi/politeknik/akademi</t>
  </si>
  <si>
    <t>Jumlah II</t>
  </si>
  <si>
    <t>Jumlah (I+II)</t>
  </si>
  <si>
    <t>1).a).Hasil penelitian atau hasil pemikiran yang DIPUBLIKASIKAN dalam bentuk BUKU MONOGRAF</t>
  </si>
  <si>
    <t>1).b).Hasil penelitian atau hasil pemikiran yang DIPUBLIKASIKAN dalam bentuk BUKU REFERENSI</t>
  </si>
  <si>
    <t>1).d).Hasil penelitian atau hasil pemikiran yang DIPUBLIKASIKAN dalam bentuk JURNAL ILMIAH NASIONAL TERAKREDITASI</t>
  </si>
  <si>
    <t>1).e).Hasil penelitian atau hasil pemikiran yang DIPUBLIKASIKAN dalam bentuk JURNAL ILMIAH TIDAK TERAKREDITASI</t>
  </si>
  <si>
    <t>1).f).Hasil penelitian atau hasil pemikiran yang DIPUBLIKASIKAN melalui SEMINAR DISAJIKAN TINGKAT INTERNASIONAL</t>
  </si>
  <si>
    <t>1).g).Hasil penelitian atau hasil pemikiran yang DIPUBLIKASIKAN melalui SEMINAR DISAJIKAN TINGKAT NASIONAL</t>
  </si>
  <si>
    <t>1).h).Hasil penelitian atau hasil pemikiran yang DIPUBLIKASIKAN melalui SEMINAR POSTER TINGKAT INTERNASIONAL</t>
  </si>
  <si>
    <t>1).i).Hasil penelitian atau hasil pemikiran yang DIPUBLIKASIKAN melalui SEMINAR POSTER TINGKAT NASIONAL</t>
  </si>
  <si>
    <t>1).j).Hasil penelitian atau hasil pemikiran yang DIPUBLIKASIKAN dalam bentuk KORAN/MAJALAH POPULER/UMUM</t>
  </si>
  <si>
    <t>1).k).Hasil penelitan atau hasil pemikiran yang TIDAK DIPUBLIKASIKAN (tersimpan diperpustakaan PT)</t>
  </si>
  <si>
    <t>1).c).Hasil penelitian atau hasil pemikiran yang DIPUBLIKASIKAN dalam bentuk JURNAL ILMIAH INTERNASIONAL</t>
  </si>
  <si>
    <t>Melaksanakan pengembangan hasil pendidikan &amp; penelitian</t>
  </si>
  <si>
    <t xml:space="preserve">Membuat/menulis karya pengabdian
</t>
  </si>
  <si>
    <t xml:space="preserve">Memberi pelayanan kepada masyarakat atau kegiatan lain menunjang pelaksanaan tugas umum pemerintah dan pembangunan
</t>
  </si>
  <si>
    <t>Keanggotaan dalam tim penilai</t>
  </si>
  <si>
    <t xml:space="preserve">Menjadi Anggota Organisasi Profesi Dosen
</t>
  </si>
  <si>
    <t>1) TINGKAT INTERNASIONAL Sebagai PENGURUS</t>
  </si>
  <si>
    <t>2) TINGKAT INTERNASIONAL Sebagai ANGGOTA ATAS PERMINTAAN</t>
  </si>
  <si>
    <t>3) TINGKAT INTERNASIONAL Sebagai ANGGOTA</t>
  </si>
  <si>
    <t>4) TINGKAT NASIONAL Sebagai PENGURUS</t>
  </si>
  <si>
    <t>5) TINGKAT NASIONAL Sebagai ANGGOTA ATAS PERMINTAAN</t>
  </si>
  <si>
    <t>6) TINGKAT NASIONAL Sebagai ANGGOTA</t>
  </si>
  <si>
    <t>Mendapat penghargaan/tanda jasa</t>
  </si>
  <si>
    <t>Jumlah III</t>
  </si>
  <si>
    <t>Jumlah IV</t>
  </si>
  <si>
    <t>Jumlah V</t>
  </si>
  <si>
    <t>Doktor (S3)</t>
  </si>
  <si>
    <t>DAFTAR USUL PENETAPAN ANGKA KREDIT</t>
  </si>
  <si>
    <t>JABATAN FUNGSIONAL DOSEN</t>
  </si>
  <si>
    <t>I.</t>
  </si>
  <si>
    <t xml:space="preserve"> KETERANGAN PERORANGAN</t>
  </si>
  <si>
    <t>N a m a</t>
  </si>
  <si>
    <t>NIP/NIRD/NIDN</t>
  </si>
  <si>
    <t>Nomor Serie Kartu Pegawai</t>
  </si>
  <si>
    <t>Pangkat/Golongan Ruang (TMT)</t>
  </si>
  <si>
    <t>Jabatan Fungsional (TMT)</t>
  </si>
  <si>
    <t>II.</t>
  </si>
  <si>
    <t xml:space="preserve"> REKAPITULASI PENILAIAN</t>
  </si>
  <si>
    <t>No</t>
  </si>
  <si>
    <t>UNSUR-UNSUR</t>
  </si>
  <si>
    <t>ANGKA KREDIT KUMULATIF (AKK)</t>
  </si>
  <si>
    <t>AKK Target Minimum</t>
  </si>
  <si>
    <t>AKK Capaian</t>
  </si>
  <si>
    <t>Persen
Kriteria</t>
  </si>
  <si>
    <t>AKK
Lama</t>
  </si>
  <si>
    <t>Persen
Capaian</t>
  </si>
  <si>
    <t>Prediksi AKK</t>
  </si>
  <si>
    <t>AKK
Hangus</t>
  </si>
  <si>
    <t>AKK 
Sisa</t>
  </si>
  <si>
    <t>(1)</t>
  </si>
  <si>
    <t>(2)</t>
  </si>
  <si>
    <t>(3)</t>
  </si>
  <si>
    <t>(4)</t>
  </si>
  <si>
    <t>(5)</t>
  </si>
  <si>
    <t>(6)</t>
  </si>
  <si>
    <t>(8)</t>
  </si>
  <si>
    <t>(9)</t>
  </si>
  <si>
    <t>(10)</t>
  </si>
  <si>
    <t>(11)</t>
  </si>
  <si>
    <t>(12)</t>
  </si>
  <si>
    <t>A.</t>
  </si>
  <si>
    <t>ASISTEN AHLI (III/b)</t>
  </si>
  <si>
    <t>Pendidikan/Sekolah</t>
  </si>
  <si>
    <t>≥ 55%</t>
  </si>
  <si>
    <t>Melaksanakan Pendidikan</t>
  </si>
  <si>
    <t>Melaksanakan Penelitian</t>
  </si>
  <si>
    <t>≥ 25%</t>
  </si>
  <si>
    <t>Melaksanakan Pengabdian kepada Masyarakat</t>
  </si>
  <si>
    <t>≤ 10%</t>
  </si>
  <si>
    <t>Melaksanakan Kegiatan Penunjang Tridharma</t>
  </si>
  <si>
    <t>Total</t>
  </si>
  <si>
    <t>B.</t>
  </si>
  <si>
    <t>LEKTOR (III/c)</t>
  </si>
  <si>
    <t>≥ 45%</t>
  </si>
  <si>
    <t>≥ 35%</t>
  </si>
  <si>
    <t>C.</t>
  </si>
  <si>
    <t>LEKTOR (III/d)</t>
  </si>
  <si>
    <t>D.</t>
  </si>
  <si>
    <t>LEKTOR KEPALA (IV/a)</t>
  </si>
  <si>
    <t>≥ 40%</t>
  </si>
  <si>
    <t>E.</t>
  </si>
  <si>
    <t>LEKTOR KEPALA (IV/b)</t>
  </si>
  <si>
    <t>F.</t>
  </si>
  <si>
    <t>LEKTOR KEPALA (IV/c)</t>
  </si>
  <si>
    <t>G.</t>
  </si>
  <si>
    <t>GURU BESAR (IV/d)</t>
  </si>
  <si>
    <t>H.</t>
  </si>
  <si>
    <t>GURU BESAR (IV/e)</t>
  </si>
  <si>
    <t>Melaksanakan perkuliahan</t>
  </si>
  <si>
    <t xml:space="preserve"> </t>
  </si>
  <si>
    <t>Pendidikan S1</t>
  </si>
  <si>
    <t>Bandung,</t>
  </si>
  <si>
    <t>2014/2015</t>
  </si>
  <si>
    <t>2015/2016</t>
  </si>
  <si>
    <t>a. Semester Genap :</t>
  </si>
  <si>
    <t>AA(150)</t>
  </si>
  <si>
    <t>TANGGAL / TAHUN</t>
  </si>
  <si>
    <t>SATUAN HASIL</t>
  </si>
  <si>
    <t>JUMLAH VOLUME KEGIATAN</t>
  </si>
  <si>
    <t>ANGKA KREDIT</t>
  </si>
  <si>
    <t>Nomor :         24 TAHUN 2014</t>
  </si>
  <si>
    <t>Nomor :          4/VIII/PB/2014</t>
  </si>
  <si>
    <t xml:space="preserve">Tentang
Ketentuan Pelaksanaan Peraturan
Menteri Pendayagunaan Aparatur Negara
Dan Reformasi Birokrasi Nomor 17 Tahun
2013 Tentang Jabatan Fungsional Dosen
Dan Angka Kreditnya, Sebagaimana Telah
Diubah Dengan Peraturan Menteri
Pendayagunaan Aparatur Negara Dan
Reformasi Birokrasi Republik Indonesia
Nomor 46 Tahun 2013
</t>
  </si>
  <si>
    <t>MELAKSANAKAN KEGIATAN PENUNJANG TUGAS DOSEN</t>
  </si>
  <si>
    <t>Lampiran VII Keputusan Bersama Menteri</t>
  </si>
  <si>
    <t>Lampiran VI Keputusan Bersama Menteri</t>
  </si>
  <si>
    <t>Lampiran VIII Keputusan Bersama Menteri</t>
  </si>
  <si>
    <t>KETERANGAN / BUKTI FISIK</t>
  </si>
  <si>
    <t>SK</t>
  </si>
  <si>
    <t>JAN- DES 2014</t>
  </si>
  <si>
    <t>SK. KEP 0976/00/DGA-04/2017</t>
  </si>
  <si>
    <t>SK REKTOR</t>
  </si>
  <si>
    <t>KR. 2116/SDM.2/REK/2014</t>
  </si>
  <si>
    <t>Penata Muda Tingkat I, ruang III/b</t>
  </si>
  <si>
    <t>Penata, ruang III/c</t>
  </si>
  <si>
    <t>Penata Tingkat I, ruang III/d</t>
  </si>
  <si>
    <t>Pembina, ruang IV/a</t>
  </si>
  <si>
    <t>Pembina Tingkat I, ruang IV/b</t>
  </si>
  <si>
    <t>Pembina Utama Muda, ruang IV/c</t>
  </si>
  <si>
    <t>Pembina Utama Madya, ruang IV/d</t>
  </si>
  <si>
    <t>Pembina Utama, ruang IV/e</t>
  </si>
  <si>
    <t>Membimbing seminar, nama mhs (nim)</t>
  </si>
  <si>
    <t>Max 4</t>
  </si>
  <si>
    <t>Max 8</t>
  </si>
  <si>
    <t>Max 2</t>
  </si>
  <si>
    <t>Max 10</t>
  </si>
  <si>
    <t>Membimbing dosen yang lebih rendah setiap semester (bagi dosen Lektor Kepala ke atas)</t>
  </si>
  <si>
    <t>Melaksanakan kegiatan datasering dan pencangkokan di luar institusi tempat bekerja setiap semester (bagi dosen Lektor kepala ke atas)</t>
  </si>
  <si>
    <t>1.a).1). Hasil penelitian atau hasil pemikiran yang DIPUBLIKASIKAN dalam bentuk BUKU REFERENSI</t>
  </si>
  <si>
    <t>1.a).2). Hasil penelitian atau hasil pemikiran yang DIPUBLIKASIKAN dalam bentuk BUKU MONOGRAF</t>
  </si>
  <si>
    <t>2.a).1). Hasil penelitian atau hasil pemikiran yang DIDESIMINASIKAN DIPRESENTASIKAN secara ORAL dan dimuat dalam PROSIDING yang DIPUBLIKASISKAN (ber ISSN/ISBN) INTERNASIONAL</t>
  </si>
  <si>
    <t>2.a).2). Hasil penelitian atau hasil pemikiran yang DIDESIMINASIKAN DIPRESENTASIKAN secara ORAL dan dimuat dalam PROSIDING yang DIPUBLIKASISKAN (ber ISSN/ISBN) NASIONAL</t>
  </si>
  <si>
    <t>2.d).1). Hasil penelitian atau hasil pemikiran yang TIDAK DISAJIKAN dalam SEMINAR/SIMPOSIUM/LOKAKARYA, tetapi dimuat dalam PROSIDING INTERNASIONAL</t>
  </si>
  <si>
    <t>2.d).2). Hasil penelitian atau hasil pemikiran yang TIDAK DISAJIKAN dalam SEMINAR/SIMPOSIUM/LOKAKARYA, tetapi dimuat dalam PROSIDING NASIONAL</t>
  </si>
  <si>
    <t>2.e). Hasil penelitian atau hasil pemikiran yang DISAJIKAN dalam KORAN/MAJALAH POPULER/UMUM</t>
  </si>
  <si>
    <t>3. Hasil penelitian atau hasil pemikiran atau KERJASAMA INDUSTRI yang TIDAK DIPUBLIKASIKAN (tersimpan dalam perpustakaan)</t>
  </si>
  <si>
    <t>Berperan serta aktif dalam pengelolaan jurnal ilmiah (pertahun)</t>
  </si>
  <si>
    <t>Skripsi</t>
  </si>
  <si>
    <t>Penata Muda, ruang III/a</t>
  </si>
  <si>
    <t>SALINAN</t>
  </si>
  <si>
    <t>LAMPIRAN III</t>
  </si>
  <si>
    <t xml:space="preserve">PERATURAN BERSAMA </t>
  </si>
  <si>
    <t>MENTERI PENDIDIKAN DAN KEBUDAYAAN DAN</t>
  </si>
  <si>
    <t>KEPALA BADAN KEPEGAWAIAN NEGARA</t>
  </si>
  <si>
    <t xml:space="preserve">NOMOR : 4/VIII/PB/2014        </t>
  </si>
  <si>
    <t xml:space="preserve">NOMOR : 24 TAHUN 2014 </t>
  </si>
  <si>
    <t>TENTANG</t>
  </si>
  <si>
    <t xml:space="preserve">KETENTUAN PELAKSANAAN PERATURAN MENTERI PENDAYAGUNAAN APARATUR NEGARA DAN REFORMASI BIROKRASI  NOMOR 17 TAHUN 2013  TENTANG JABATAN FUNGSIONAL DOSEN DAN ANGKA KREDITNYA, SEBAGAIMANA TELAH DIUBAH DENGAN PERATURAN MENTERI PENDAYAGUNAAN APARATUR NEGARA DAN REFORMASI BIROKRASI  REPUBLIK INDONESIA NOMOR 46 TAHUN 2013   </t>
  </si>
  <si>
    <t>JABATAN AKADEMIK DOSEN</t>
  </si>
  <si>
    <t>INSTANSI : ………………………………………</t>
  </si>
  <si>
    <t xml:space="preserve">MASA PENILAIAN :   </t>
  </si>
  <si>
    <t>Bulan ……… s/d  Bulan……… Tahun…………</t>
  </si>
  <si>
    <t>KETERANGAN PERORANGAN</t>
  </si>
  <si>
    <t>1.</t>
  </si>
  <si>
    <t xml:space="preserve"> Nama</t>
  </si>
  <si>
    <t>2.</t>
  </si>
  <si>
    <t xml:space="preserve"> N I P</t>
  </si>
  <si>
    <t>3.</t>
  </si>
  <si>
    <t xml:space="preserve"> Nomor Seri Kartu Pegawai</t>
  </si>
  <si>
    <t>4.</t>
  </si>
  <si>
    <t xml:space="preserve"> Tempat dan Tanggal Lahir</t>
  </si>
  <si>
    <t>5.</t>
  </si>
  <si>
    <t xml:space="preserve"> Jenis Kelamin</t>
  </si>
  <si>
    <t>6.</t>
  </si>
  <si>
    <t xml:space="preserve"> Pendidikan yang diperhitungkan angka kreditnya</t>
  </si>
  <si>
    <t>7.</t>
  </si>
  <si>
    <t xml:space="preserve"> Jabatan Akademik Dosen/TMT</t>
  </si>
  <si>
    <t>8.</t>
  </si>
  <si>
    <t xml:space="preserve"> Masa kerja golongan lama</t>
  </si>
  <si>
    <t>9.</t>
  </si>
  <si>
    <t xml:space="preserve"> Masa kerja golongan baru</t>
  </si>
  <si>
    <t>10.</t>
  </si>
  <si>
    <t xml:space="preserve"> Unit Kerja </t>
  </si>
  <si>
    <t>UNSUR YANG DINILAI</t>
  </si>
  <si>
    <t>UNSUR, SUB UNSUR DAN BUTIR KEGIATAN</t>
  </si>
  <si>
    <t>INSTANSI PENGUSUL</t>
  </si>
  <si>
    <t>PENDIDIKAN</t>
  </si>
  <si>
    <t>Pendidikan formal</t>
  </si>
  <si>
    <t>Magister (S2)</t>
  </si>
  <si>
    <t>Pendidikan dan pelatihan Prajabatan</t>
  </si>
  <si>
    <t>Pendidikan dan pelatihan Prajabatan golongan III</t>
  </si>
  <si>
    <t>PELAKSANAAN PENDIDIKAN</t>
  </si>
  <si>
    <t>Melaksanakan perkulihan/ tutorial dan membimbing, menguji serta menyelenggarakan pendidikan di laboratorium, praktek keguruan bengkel/ studio/kebun percobaan/teknologi pengajaran dan praktek lapangan</t>
  </si>
  <si>
    <t>Melaksanakan perkulihan/tutorial dan membimbing, menguji serta menyelenggarakan pendidikan di Laboratorium, Praktik Keguruan Bengkel/Studio/ Kebun pada Fakultas/Sekolah Tinggi/Akademi/ Politeknik sendiri, pada fakultas lain dalam lingkungan Universitas/Institut sendiri, maupun di luar perguruan tinggi sendiri secara melembaga paling banyak 12 sks per semester</t>
  </si>
  <si>
    <t>Membimbing mahasiswa seminar</t>
  </si>
  <si>
    <t xml:space="preserve">Membing kuliah kerja nyata, pratek kerja nyata, praktek kerja lapangan </t>
  </si>
  <si>
    <t xml:space="preserve">Membimbing mahasiswa kuliah kerja nyata, pratek kerja nyata, praktek kerja lapangan </t>
  </si>
  <si>
    <t>Membimbing dan ikut membimbing dalam menghasilkan disertasi, thesis, skripsi dan laporan akhir studi</t>
  </si>
  <si>
    <t xml:space="preserve">Pembimbing utama </t>
  </si>
  <si>
    <t>a.</t>
  </si>
  <si>
    <t>Disertasi</t>
  </si>
  <si>
    <t>b.</t>
  </si>
  <si>
    <t>Thesis</t>
  </si>
  <si>
    <t>c.</t>
  </si>
  <si>
    <t>d.</t>
  </si>
  <si>
    <t>Laporan akhir</t>
  </si>
  <si>
    <t>Pembimbing pendamping/pembantu</t>
  </si>
  <si>
    <t>Bertugas sebagai penguji pada ujian akhir</t>
  </si>
  <si>
    <t>Ketua penguji</t>
  </si>
  <si>
    <t>Anggota penguji</t>
  </si>
  <si>
    <t>Melakukan pembinaan kegiatan mahasiswa di bidang Akademik dan kemahasiswaan</t>
  </si>
  <si>
    <t>Melakukan kegiatan pengembangan program kuliah</t>
  </si>
  <si>
    <t>Mengembangkan bahan pengajaran</t>
  </si>
  <si>
    <t>Buku ajar</t>
  </si>
  <si>
    <t xml:space="preserve">Diktat, modul, petunjuk praktikum, model, alat bantu, audio visual, naskah tutorial </t>
  </si>
  <si>
    <t>Menyampaikan orasi ilmiah</t>
  </si>
  <si>
    <t xml:space="preserve">Melakukan kegiatan orasi ilmiah pada perguruan tinggi tiap tahun </t>
  </si>
  <si>
    <t>Rektor</t>
  </si>
  <si>
    <t>Pembantu rektor/dekan/direktur program pasca sarjana</t>
  </si>
  <si>
    <t>Ketua sekolah tinggi/pembantu dekan/asisten direktur program pasca sarjana/direktur politeknik</t>
  </si>
  <si>
    <t xml:space="preserve">Pembantu ketua sekolah tinggi/pembantu direktur politeknik </t>
  </si>
  <si>
    <t>Direktur akademi</t>
  </si>
  <si>
    <t>Pembantu direktur akademi/ketua jurusan/bagian pada Universitas/institut/sekolah tinggi</t>
  </si>
  <si>
    <t>Ketua jurusan pada politeknik/akademi/sekretaris jurusan/bagian pada universitas/institut/sekolah tinggi</t>
  </si>
  <si>
    <t>Sekretaris jurusan pada politeknik/akademik dan kepala laboratorium universitas/institut/sekolah tinggi/politeknik/akademi</t>
  </si>
  <si>
    <t>Membimbing Akademik Dosen yang lebih rendah jabatannya</t>
  </si>
  <si>
    <t>Pembimbing pencangkokan</t>
  </si>
  <si>
    <t>Reguler</t>
  </si>
  <si>
    <t>Melaksanakan kegiatan Detasering dan pencangkokan Akademik Dosen</t>
  </si>
  <si>
    <t>Detasering</t>
  </si>
  <si>
    <t>Pencangkokan</t>
  </si>
  <si>
    <t>Lamanya lebih dari 960 jam</t>
  </si>
  <si>
    <t>Lamanya 641-960 jam</t>
  </si>
  <si>
    <t>Lamanya 481-640 jam</t>
  </si>
  <si>
    <t>Lamanya 161-480 jam</t>
  </si>
  <si>
    <t>Lamanya 81-160 jam</t>
  </si>
  <si>
    <t>Lamanya 31-80 jam</t>
  </si>
  <si>
    <t>Lamanya 10-30 jam</t>
  </si>
  <si>
    <t>PELAKSANAAN PENELITIAN</t>
  </si>
  <si>
    <t xml:space="preserve">Menghasilkan karya ilmiah </t>
  </si>
  <si>
    <t>Hasil penelitian atau pemikiran yang dipublikasikan</t>
  </si>
  <si>
    <t>Dalam bentuk:</t>
  </si>
  <si>
    <t>1)</t>
  </si>
  <si>
    <t>Monograf</t>
  </si>
  <si>
    <t>2)</t>
  </si>
  <si>
    <t>Buku referensi</t>
  </si>
  <si>
    <t>b</t>
  </si>
  <si>
    <t>Jurnal ilmiah:</t>
  </si>
  <si>
    <t>Internasional</t>
  </si>
  <si>
    <t>Nasional terakreditasi</t>
  </si>
  <si>
    <t>3)</t>
  </si>
  <si>
    <t>Tidak terakreditasi</t>
  </si>
  <si>
    <t>Seminar</t>
  </si>
  <si>
    <t>Disajikan tingkat:</t>
  </si>
  <si>
    <t>a) Internasional</t>
  </si>
  <si>
    <t>b) Nasional</t>
  </si>
  <si>
    <t>Poster tingkat:</t>
  </si>
  <si>
    <t>d</t>
  </si>
  <si>
    <t>Dalam koran/majalah populer/umum</t>
  </si>
  <si>
    <t>Hasil penelitian atau hasil pemikiran yang tidak di publikasikan (tersimpan di perpustakaan perguruan tinggi)</t>
  </si>
  <si>
    <t>Menerjemahkan / menyadur buku ilmiah</t>
  </si>
  <si>
    <t>Diterbitkan dan diedarkan secara nasional.</t>
  </si>
  <si>
    <t>Membuat rencana dan karya teknologi yang dipatenkan</t>
  </si>
  <si>
    <t>Nasional</t>
  </si>
  <si>
    <t xml:space="preserve">Membuat rancangan dan karya teknologi, rancangan dan karya seni monumental/seni pertunjukan/karya sastra </t>
  </si>
  <si>
    <t>Tingkat internasional</t>
  </si>
  <si>
    <t>Tingkat nasional</t>
  </si>
  <si>
    <t>Tingkat lokal</t>
  </si>
  <si>
    <t>PELAKSANAAN PENGABDIAN KEPADA MASYARAKAT</t>
  </si>
  <si>
    <t>Menduduki jabatan pimpinan pada lembaga pemerintahan/pejabat negara yang harus dibebaskan dari jabatan organiknya</t>
  </si>
  <si>
    <t>Melaksankan pengembangan hasil pendidikan dan penelitian</t>
  </si>
  <si>
    <t>Melaksanakan pengembangan hasil pendidikan dan penelitian yang dapat dimanfaatkan oleh masyarakat</t>
  </si>
  <si>
    <t>Memberi latihan/penyuluhan/penataran/ceramah pada masyarakat</t>
  </si>
  <si>
    <t>Terjadwal/terprogram</t>
  </si>
  <si>
    <t>Dalam satu semester atau lebih</t>
  </si>
  <si>
    <t>Kurang dari satu semester dan minimal satu bulan</t>
  </si>
  <si>
    <t>Insidental</t>
  </si>
  <si>
    <t>Memberi pelayanan kepada masyarakat atau kegiatan lain yang menunjang pelaksanaan tugas umum pemerintah dan pembangunan</t>
  </si>
  <si>
    <t>Berdasarkan bidang keahlian</t>
  </si>
  <si>
    <t>Berdasarkan penugasan lembaga perguruan tinggi</t>
  </si>
  <si>
    <t>Berdasarkan fungsi/jabatan</t>
  </si>
  <si>
    <t xml:space="preserve">Membuat/menulis karya pengabdian </t>
  </si>
  <si>
    <t xml:space="preserve">JUMLAH UNSUR UTAMA </t>
  </si>
  <si>
    <t>VI</t>
  </si>
  <si>
    <t>PENUNJANG TUGAS DOSEN</t>
  </si>
  <si>
    <t>Menjadi anggota dalam suatu Panitia/Badan pada perguruan tinggi</t>
  </si>
  <si>
    <t>Sebagai ketua/wakil ketua merangkap anggota</t>
  </si>
  <si>
    <t>Sebagai anggota</t>
  </si>
  <si>
    <t>Menjadi anggota panitia/badan pada lembaga pemerintah</t>
  </si>
  <si>
    <t>Panitia pusat</t>
  </si>
  <si>
    <t>Ketua/Wakil Ketua</t>
  </si>
  <si>
    <t>Anggota</t>
  </si>
  <si>
    <t>Panitia daerah</t>
  </si>
  <si>
    <t>Menjadi anggota organisasi profesi</t>
  </si>
  <si>
    <t>a</t>
  </si>
  <si>
    <t>Pengurus</t>
  </si>
  <si>
    <t>Anggota atas permintaan</t>
  </si>
  <si>
    <t>c</t>
  </si>
  <si>
    <t>Mewakili perguruan tinggi/lembaga pemerintah</t>
  </si>
  <si>
    <t>Mewakili perguruan tinggi/lembaga pemerintah duduk dalam panitia antar lembaga</t>
  </si>
  <si>
    <t>Menjadi anggota delegasi nasional ke pertemuan internasional</t>
  </si>
  <si>
    <t>Sebagai ketua delegasi</t>
  </si>
  <si>
    <t>Sebagai anggota delegasi</t>
  </si>
  <si>
    <t>Tingkat internasional/nasional/regional sebagai :</t>
  </si>
  <si>
    <t>Ketua</t>
  </si>
  <si>
    <t>Di lingkungan perguruan tinggi sebagai :</t>
  </si>
  <si>
    <t>Mendapat penghargaan/ tanda jasa</t>
  </si>
  <si>
    <t>Penghargaan/tanda jasa Satya Lancana Karya Satya</t>
  </si>
  <si>
    <t>30 (tiga puluh) tahun</t>
  </si>
  <si>
    <t>20 (dua puluh) tahun</t>
  </si>
  <si>
    <t>10 (sepuluh) tahun</t>
  </si>
  <si>
    <t>Memperoleh penghargaan lainnya</t>
  </si>
  <si>
    <t>Tingkat provinsi</t>
  </si>
  <si>
    <t>Menulis buku pelajaran SLTA ke bawah yang diterbitkan dan diedarkan secara nasional</t>
  </si>
  <si>
    <t>Buku SLTA atau setingkat</t>
  </si>
  <si>
    <t>Buku SLTP atau setingkat</t>
  </si>
  <si>
    <t>Buku SD atau setingkat</t>
  </si>
  <si>
    <t>Mempunyai prestasi di bidang olahraga/humaniora</t>
  </si>
  <si>
    <t>Tingkat daerah/lokal</t>
  </si>
  <si>
    <t xml:space="preserve">Keanggotaan dalam tim penilaian </t>
  </si>
  <si>
    <t>Menjadi anggota tim penilaian  jabatan Akademik Dosen</t>
  </si>
  <si>
    <t>JUMLAH UNSUR PENUNJANG</t>
  </si>
  <si>
    <t>LAMPIRAN PENDUKUNG DUPAK :</t>
  </si>
  <si>
    <t>Surat pernyataan telah melaksanakan kegiatan pendidikan</t>
  </si>
  <si>
    <t>Surat pernyataan telah melakukan kegiatan pengajaran</t>
  </si>
  <si>
    <t>Surat pernyataan telah melakukan kegiatan pengabdian kepada masyarakat</t>
  </si>
  <si>
    <t xml:space="preserve">Surat pernyataan melakukan kegiatan penunjang </t>
  </si>
  <si>
    <t>…………………….,…………………………</t>
  </si>
  <si>
    <t>NIP.</t>
  </si>
  <si>
    <t>Catatan Pejabat Pengusul :</t>
  </si>
  <si>
    <t>……</t>
  </si>
  <si>
    <t>dan seterusnya</t>
  </si>
  <si>
    <t>( jabatan )</t>
  </si>
  <si>
    <t>(nama  pejabat  pengusul )</t>
  </si>
  <si>
    <t xml:space="preserve">NIP. </t>
  </si>
  <si>
    <t>Catatan Anggota Tim Penilai :</t>
  </si>
  <si>
    <t>( Nama Penilai  I  )</t>
  </si>
  <si>
    <t>(Nama Penilai  II )</t>
  </si>
  <si>
    <t>Catatan  Ketua Tim Penilai :</t>
  </si>
  <si>
    <t xml:space="preserve">Ketua  Tim Penilai, </t>
  </si>
  <si>
    <t xml:space="preserve"> ( N a m a  )</t>
  </si>
  <si>
    <t>NIP .</t>
  </si>
  <si>
    <t xml:space="preserve">Bulan </t>
  </si>
  <si>
    <t>Bulan</t>
  </si>
  <si>
    <t>Tahun</t>
  </si>
  <si>
    <t>Januari</t>
  </si>
  <si>
    <t>Februari</t>
  </si>
  <si>
    <t>Maret</t>
  </si>
  <si>
    <t>April</t>
  </si>
  <si>
    <t>Mei</t>
  </si>
  <si>
    <t>Juni</t>
  </si>
  <si>
    <t>Juli</t>
  </si>
  <si>
    <t>Agustus</t>
  </si>
  <si>
    <t>September</t>
  </si>
  <si>
    <t>Oktober</t>
  </si>
  <si>
    <t>November</t>
  </si>
  <si>
    <t>Desember</t>
  </si>
  <si>
    <t>1.b).1). Hasil penelitian atau hasil pemikiran dalam buku yang DIPUBLIKASIKAN dan berisi berbagai tulisan dari berbagai PENULIS INTERNASIONAL</t>
  </si>
  <si>
    <t>1.b).2). Hasil penelitian atau hasil pemikiran yang DIPUBLIKASIKAN dan berisi berbagai tulisan dari berbagai PENULIS NASIONAL</t>
  </si>
  <si>
    <t>1.c).1). Hasil penelitian atau hasil pemikiran yang DIPUBLIKASIKAN dalam bentuk JURNAL INTERNASIONAL BEREPUTASI</t>
  </si>
  <si>
    <t>1.c).2). Hasil penelitian atau hasil pemikiran yang DIPUBLIKASIKAN dalam bentuk JURNAL INTERNASIONAL TERINDEK pada DATABASE INTERNASIONAL BEREPUTASI</t>
  </si>
  <si>
    <t>1.c).3). Hasil penelitian atau hasil pemikiran yang DIPUBLIKASIKAN dalam bentuk JURNAL INTERNASIONAL TERINDEK pada DATABASE INTERNASIONAL</t>
  </si>
  <si>
    <t>1.c).4). Hasil penelitian atau hasil pemikiran yang DIPUBLIKASIKAN dalam bentuk JURNAL NASIONAL TERAKREDITASI</t>
  </si>
  <si>
    <t>1.c).5).a). Hasil penelitian atau hasil pemikiran yang DIPUBLIKASIKAN dalam bentuk JURNAL NASIONAL BERBAHASA INDONESIA terindex pada DOAJ</t>
  </si>
  <si>
    <t>1.c).5).b). Hasil penelitian atau hasil pemikiran yang DIPUBLIKASIKAN dalam bentuk JURNAL NASIONAL BERBAHASA INGGRIS atau BAHASA RESMI (PBB) terindek pada DOAJ</t>
  </si>
  <si>
    <t>1.c).6). Hasil penelitian atau hasil pemikiran yang DIPUBLIKASIKAN dalam bentuk JURNAL NASIONAL</t>
  </si>
  <si>
    <t>1.c).7). Hasil penelitian atau hasil pemikiran yang DIPUBLIKASIKAN dalam bentuk JURNAL ILMIAH yang ditulis dalam BAHASA RESMI namum tidak memenuhi syarat-syarat sebagai JURNAL ILMIAH INTERNASIONAL</t>
  </si>
  <si>
    <t>2.b).1). Hasil penelitian atau hasil pemikiran yang DISAJIKAN dalam bentuk POSTER dan dimuat dalam PROSIDING yang DIPUBLIKASIKAN INTERNASIONAL</t>
  </si>
  <si>
    <t>2.b).2). Hasil penelitian atau hasil pemikiran yang DISAJIKAN dalam bentuk POSTER dan dimuat dalam PROSIDING yang DIPUBLIKASIKAN NASIONAL</t>
  </si>
  <si>
    <t>s.d.</t>
  </si>
  <si>
    <t>N I P</t>
  </si>
  <si>
    <t>Nomor Seri Kartu Pegawai</t>
  </si>
  <si>
    <t>Pendidikan yang diperhitungkan angka kreditnya</t>
  </si>
  <si>
    <t>Jabatan Akademik Dosen/TMT</t>
  </si>
  <si>
    <t xml:space="preserve">Unit Kerja </t>
  </si>
  <si>
    <t>S2 Teknik Elektro Fakultas Teknik Elektro di Universitas Telkom pada Kopertis Wilayah IV Jawa Barat dan Banten</t>
  </si>
  <si>
    <t>S1 Teknik Elektro Fakultas Teknik Elektro di Universitas Telkom pada Kopertis Wilayah IV Jawa Barat dan Banten</t>
  </si>
  <si>
    <t>S1 Teknik Telekomunikasi Fakultas Teknik Elektro di Universitas Telkom pada Kopertis Wilayah IV Jawa Barat dan Banten</t>
  </si>
  <si>
    <t>S1 Sistem Komputer Fakultas Teknik Elektro di Universitas Telkom pada Kopertis Wilayah IV Jawa Barat dan Banten</t>
  </si>
  <si>
    <t>S1 Teknik Fisika Fakultas Teknik Elektro di Universitas Telkom pada Kopertis Wilayah IV Jawa Barat dan Banten</t>
  </si>
  <si>
    <t>S2 Teknik Industri Fakultas Rekayasa Industri di Universitas Telkom pada Kopertis Wilayah IV Jawa Barat dan Banten</t>
  </si>
  <si>
    <t>S1 Teknik Industri Fakultas Rekayasa Industri di Universitas Telkom pada Kopertis Wilayah IV Jawa Barat dan Banten</t>
  </si>
  <si>
    <t>S1 Sistem Informasi Fakultas Rekayasa Industri di Universitas Telkom pada Kopertis Wilayah IV Jawa Barat dan Banten</t>
  </si>
  <si>
    <t>S2 Teknik Informatika Fakultas Informatika di Universitas Telkom pada Kopertis Wilayah IV Jawa Barat dan Banten</t>
  </si>
  <si>
    <t>S1 Teknik Informatika Fakultas Informatika di Universitas Telkom pada Kopertis Wilayah IV Jawa Barat dan Banten</t>
  </si>
  <si>
    <t>S1 Ilmu Komputasi Fakultas Informatika di Universitas Telkom pada Kopertis Wilayah IV Jawa Barat dan Banten</t>
  </si>
  <si>
    <t>S2 Manajemen Fakultas Ekonomi dan Bisnis di Universitas Telkom pada Kopertis Wilayah IV Jawa Barat dan Banten</t>
  </si>
  <si>
    <t>S1 Manajemen Fakultas Ekonomi dan Bisnis di Universitas Telkom pada Kopertis Wilayah IV Jawa Barat dan Banten</t>
  </si>
  <si>
    <t>S1 Akuntansi Fakultas Ekonomi dan Bisnis di Universitas Telkom pada Kopertis Wilayah IV Jawa Barat dan Banten</t>
  </si>
  <si>
    <t>S1 Administrasi Bisnis Fakultas Komunikasi dan Bisnis di Universitas Telkom pada Kopertis Wilayah IV Jawa Barat dan Banten</t>
  </si>
  <si>
    <t>S1 Ilmu Komunikasi Fakultas Komunikasi dan Bisnis di Universitas Telkom pada Kopertis Wilayah IV Jawa Barat dan Banten</t>
  </si>
  <si>
    <t>S1 Seni Rupa Murni Fakultas Industri Kreatif di Universitas Telkom pada Kopertis Wilayah IV Jawa Barat dan Banten</t>
  </si>
  <si>
    <t>S1 Kriya Tekstil Dan Mode Fakultas Industri Kreatif di Universitas Telkom pada Kopertis Wilayah IV Jawa Barat dan Banten</t>
  </si>
  <si>
    <t>S1 Desain Interior Fakultas Industri Kreatif di Universitas Telkom pada Kopertis Wilayah IV Jawa Barat dan Banten</t>
  </si>
  <si>
    <t>S1 Desain Produk Fakultas Industri Kreatif di Universitas Telkom pada Kopertis Wilayah IV Jawa Barat dan Banten</t>
  </si>
  <si>
    <t>S1 Desain Komunikasi Visual Fakultas Industri Kreatif di Universitas Telkom pada Kopertis Wilayah IV Jawa Barat dan Banten</t>
  </si>
  <si>
    <t>D3 Teknik Telekomunikasi Fakultas Ilmu Terapan di Universitas Telkom pada Kopertis Wilayah IV Jawa Barat dan Banten</t>
  </si>
  <si>
    <t>D3 Teknik Informatika Fakultas Ilmu Terapan di Universitas Telkom pada Kopertis Wilayah IV Jawa Barat dan Banten</t>
  </si>
  <si>
    <t>D3 Teknik Komputer Fakultas Ilmu Terapan di Universitas Telkom pada Kopertis Wilayah IV Jawa Barat dan Banten</t>
  </si>
  <si>
    <t>D3 Manajemen Informatika Fakultas Ilmu Terapan di Universitas Telkom pada Kopertis Wilayah IV Jawa Barat dan Banten</t>
  </si>
  <si>
    <t>D3 Komputerisasi Akuntansi Fakultas Ilmu Terapan di Universitas Telkom pada Kopertis Wilayah IV Jawa Barat dan Banten</t>
  </si>
  <si>
    <t>D3 Manajemen Pemasaran Fakultas Ilmu Terapan di Universitas Telkom pada Kopertis Wilayah IV Jawa Barat dan Banten</t>
  </si>
  <si>
    <t>D3 Perhotelan Fakultas Ilmu Terapan di Universitas Telkom pada Kopertis Wilayah IV Jawa Barat dan Banten</t>
  </si>
  <si>
    <t>Membimbing KKN/PKL/PKN</t>
  </si>
  <si>
    <t>S2 Teknik Elektro Fakultas Teknik Elektro</t>
  </si>
  <si>
    <t>S1 Teknik Elektro Fakultas Teknik Elektro</t>
  </si>
  <si>
    <t>S1 Teknik Telekomunikasi Fakultas Teknik Elektro</t>
  </si>
  <si>
    <t>S1 Sistem Komputer Fakultas Teknik Elektro</t>
  </si>
  <si>
    <t>S1 Teknik Fisika Fakultas Teknik Elektro</t>
  </si>
  <si>
    <t>S2 Teknik Industri Fakultas Rekayasa Industri</t>
  </si>
  <si>
    <t>S1 Teknik Industri Fakultas Rekayasa Industri</t>
  </si>
  <si>
    <t>S1 Sistem Informasi Fakultas Rekayasa Industri</t>
  </si>
  <si>
    <t>S2 Teknik Informatika Fakultas Informatika</t>
  </si>
  <si>
    <t>S1 Teknik Informatika Fakultas Informatika</t>
  </si>
  <si>
    <t>S1 Ilmu Komputasi Fakultas Informatika</t>
  </si>
  <si>
    <t>S2 Manajemen Fakultas Ekonomi dan Bisnis</t>
  </si>
  <si>
    <t>S1 Manajemen Fakultas Ekonomi dan Bisnis</t>
  </si>
  <si>
    <t>S1 Akuntansi Fakultas Ekonomi dan Bisnis</t>
  </si>
  <si>
    <t>S1 Administrasi Bisnis Fakultas Komunikasi dan Bisnis</t>
  </si>
  <si>
    <t>S1 Ilmu Komunikasi Fakultas Komunikasi dan Bisnis</t>
  </si>
  <si>
    <t>S1 Seni Rupa Murni Fakultas Industri Kreatif</t>
  </si>
  <si>
    <t>S1 Kriya Tekstil Dan Mode Fakultas Industri Kreatif</t>
  </si>
  <si>
    <t>S1 Desain Interior Fakultas Industri Kreatif</t>
  </si>
  <si>
    <t>S1 Desain Produk Fakultas Industri Kreatif</t>
  </si>
  <si>
    <t>S1 Desain Komunikasi Visual Fakultas Industri Kreatif</t>
  </si>
  <si>
    <t>D3 Teknik Telekomunikasi Fakultas Ilmu Terapan</t>
  </si>
  <si>
    <t>D3 Teknik Informatika Fakultas Ilmu Terapan</t>
  </si>
  <si>
    <t>D3 Teknik Komputer Fakultas Ilmu Terapan</t>
  </si>
  <si>
    <t>D3 Manajemen Informatika Fakultas Ilmu Terapan</t>
  </si>
  <si>
    <t>D3 Komputerisasi Akuntansi Fakultas Ilmu Terapan</t>
  </si>
  <si>
    <t>D3 Manajemen Pemasaran Fakultas Ilmu Terapan</t>
  </si>
  <si>
    <t>D3 Perhotelan Fakultas Ilmu Terapan</t>
  </si>
  <si>
    <t>AKK
LAMA (LEBIHAN)</t>
  </si>
  <si>
    <t>2.c).1). Hasil penelitian atau hasil pemikiran yang DISAJIKAN dalam SEMINAR/SIMPOSIUM/LOKAKARYA, tetapi TIDAK DIMUAT dalam PROSIDING yang DIPUBLIKASIKAN INTERNASIONAL</t>
  </si>
  <si>
    <t>2.c).2). Hasil penelitian atau hasil pemikiran yang DISAJIKAN dalam SEMINAR/SIMPOSIUM/LOKAKARYA, tetapi TIDAK DIMUAT dalam PROSIDING yang DIPUBLIKASIKAN NASIONAL</t>
  </si>
  <si>
    <t>Yang Bertanda Tangan di Bawah Ini</t>
  </si>
  <si>
    <t>MELAKSANAKAN PENELITIAN</t>
  </si>
  <si>
    <t>SURAT PERNYATAAN</t>
  </si>
  <si>
    <t>Masa Kerja Lama</t>
  </si>
  <si>
    <t>Masa Kerja Baru</t>
  </si>
  <si>
    <t>Tingkat Internasional</t>
  </si>
  <si>
    <t>Tingkat Nasional</t>
  </si>
  <si>
    <t>Tingkat Lokal</t>
  </si>
  <si>
    <t>A.1.a.1</t>
  </si>
  <si>
    <t>A.1.a.2</t>
  </si>
  <si>
    <t>A.1.b.1</t>
  </si>
  <si>
    <t>A.1.b.2</t>
  </si>
  <si>
    <t>A.1.b.3</t>
  </si>
  <si>
    <t>A.1.c.1.a</t>
  </si>
  <si>
    <t>A.1.c.1.b</t>
  </si>
  <si>
    <t>A.1.c.2.a</t>
  </si>
  <si>
    <t>A.1.c.2.b</t>
  </si>
  <si>
    <t>A.1.d</t>
  </si>
  <si>
    <t>A.2</t>
  </si>
  <si>
    <t>Akk Lama &amp; Lebihan</t>
  </si>
  <si>
    <t>AKK Capaian ( Lektor Kepala/Guru Besar)</t>
  </si>
  <si>
    <t>JUDUL KARYA ILMIAH</t>
  </si>
  <si>
    <t>NILAI MAKSIMAL</t>
  </si>
  <si>
    <t>(7)</t>
  </si>
  <si>
    <t>Jumlah
AKK Minimal</t>
  </si>
  <si>
    <t>AKK
Capaian Baru</t>
  </si>
  <si>
    <t>: Isilah Keterangan Perorangan terlebih dahulu, agar fungsi formula di tiap lampiran berfungsi</t>
  </si>
  <si>
    <t>: Aplikasi Excel ini hanya bisa dioperasikan minimal pada Microsoft Excel 2010 s/d sekarang</t>
  </si>
  <si>
    <t>: Kotak berwarna MERAH rumus, tidak perlu melakukan pengisian pada Kotak Merah</t>
  </si>
  <si>
    <t>: Apabila Keterangan Perorangan sudah diisi, maka otomatis akan mengisi nama pada tiap Lampiran berikutnya</t>
  </si>
  <si>
    <t>Created By : Nathaleo M. Apon.</t>
  </si>
  <si>
    <t>Created By : Nathaleo M. Apon. - Eugeniotejo</t>
  </si>
  <si>
    <t>: Kotak berwarna KUNING untuk diisi (khusus profil atasan/yang memberi pernyataan)</t>
  </si>
  <si>
    <t>: Untuk nama Atasan / yang memberi pernyataan, diisi pada Lampiran II</t>
  </si>
  <si>
    <t xml:space="preserve">NB: </t>
  </si>
  <si>
    <t>2. Untuk Pengajuan ke Lektor Kepala / Guru Besar, nama Rektor Tel-U diisikan pada Kolom Lampiran Pendukung DUPAK sedangkan pada Kolom Pejabat Pengusul diisikan nama Koordinator Kopertis Wilayah IV</t>
  </si>
  <si>
    <t>( Isikan Nomor SK dengan lengkap)</t>
  </si>
  <si>
    <t>N I D N / N I P</t>
  </si>
  <si>
    <t>SIMULASI REKAPITULASI</t>
  </si>
  <si>
    <t>Untuk Row yang tidak diisi / dilewat mohon dihide</t>
  </si>
  <si>
    <t>Untuk Row yang tidak diisi / dilewat mohon dihide
Created By : Nathaleo M. Apon.</t>
  </si>
  <si>
    <t>DAFTAR NILAI HASIL REVIEW PENELITIAN / PUBLIKASI KARYA ILMIAH</t>
  </si>
  <si>
    <t>DOSEN BIASA YANG DINILAI</t>
  </si>
  <si>
    <t>00740196-1 / 0421097401</t>
  </si>
  <si>
    <t>Lektor Kepala</t>
  </si>
  <si>
    <t>S1 Ilmu Komputasi, Fakultas Informatika, Universitas Telkom</t>
  </si>
  <si>
    <t>ANGKA KREDIT MENURUT PEER REVIEWER EKSTERNAL</t>
  </si>
  <si>
    <t>JENIS KARYA ILMIAH</t>
  </si>
  <si>
    <t>RATA-RATA PERSENTASE HASIL PEER REVIEW</t>
  </si>
  <si>
    <t xml:space="preserve">Nilai yang diusulkan setelah peer Review </t>
  </si>
  <si>
    <t>Bandung,                                    2016</t>
  </si>
  <si>
    <t>Wakil Rektor I</t>
  </si>
  <si>
    <t>Universitas Telkom</t>
  </si>
  <si>
    <t>Dr. Ir. Heroe Wijanto, M.T.</t>
  </si>
  <si>
    <t>Reviewer 1 
(Prof. AAAA)</t>
  </si>
  <si>
    <t>Nilai Setelah Direview Prof. AAAA)</t>
  </si>
  <si>
    <t>Reviewer 2
(Prof. SSSSS)</t>
  </si>
  <si>
    <t>Nilai Setelah Direview Prof. SSSSS</t>
  </si>
  <si>
    <t>Jurnal International Bereputasi</t>
  </si>
  <si>
    <t>Dr. Endang Soekamti, S.Si., M.Si</t>
  </si>
  <si>
    <t>No.</t>
  </si>
  <si>
    <t>Judul Karya Ilmiah</t>
  </si>
  <si>
    <t xml:space="preserve">Penulis </t>
  </si>
  <si>
    <t>Identitas Karya Ilmiah</t>
  </si>
  <si>
    <t xml:space="preserve">LINK Publikasi </t>
  </si>
  <si>
    <t>Persentase Similarity Tanpa ada yang di-Exclude</t>
  </si>
  <si>
    <t>Persentase Similarity Exclude</t>
  </si>
  <si>
    <t>Rincian &amp; Keterangan Similarity</t>
  </si>
  <si>
    <t>a. Internet 2% (nrl.navy.mil)
b. Openlib</t>
  </si>
  <si>
    <t>Mengetahui,</t>
  </si>
  <si>
    <t>Ketua Tim PAK Fakultas</t>
  </si>
  <si>
    <t>[Nama]</t>
  </si>
  <si>
    <t>[nip]</t>
  </si>
  <si>
    <t>UNSUR, SUB UNSUR &amp; BUTIR KEGIATAN</t>
  </si>
  <si>
    <t xml:space="preserve">  PENDIDIKAN</t>
  </si>
  <si>
    <t xml:space="preserve"> Doktor (S3)</t>
  </si>
  <si>
    <t xml:space="preserve"> Magister (S2)</t>
  </si>
  <si>
    <t>Pendidikan &amp; Pelatihan Prajabatan</t>
  </si>
  <si>
    <t>Pendidikan &amp; Pelatihan Prajabatan Golongan III</t>
  </si>
  <si>
    <t xml:space="preserve">  PELAKSANAAN PENDIDIKAN</t>
  </si>
  <si>
    <t>Melaksanakan Perkulihan/Tutorial &amp; Membimbing, Menguji Serta Menyelenggarakan Pendidikan di Laboratorium, Praktek Keguruan Bengkel/Studio/Kebun Percobaan/Teknologi Pengajaran &amp; Praktek Lapangan</t>
  </si>
  <si>
    <t>Melaksanakan Perkulihan/Tutorial &amp; Membimbing, Menguji Serta Menyelenggarakan Pendidikan di Laboratorium, Praktik Keguruan Bengkel/Studio/Kebun Pada Fakultas/Sekolah Tinggi/Akademi/ Politeknik Sendiri, Pada Fakultas Lain Dalam Lingkungan Universitas/Institut Sendiri, maupun di Luar Perguruan Tinggi Sendiri Secara Melembaga Paling Banyak 12 SKS/Semester</t>
  </si>
  <si>
    <t>Membimbing Seminar</t>
  </si>
  <si>
    <t>Membimbing Mahasiswa Seminar</t>
  </si>
  <si>
    <t>Membing Kuliah Kerja Nyata, Pratek Kerja Nyata, Praktek Kerja Lapangan</t>
  </si>
  <si>
    <t>Membimbing Mahasiswa Kuliah Kerja Nyata, Pratek Kerja Nyata, Praktek Kerja Lapangan</t>
  </si>
  <si>
    <t>Membimbing &amp; Ikut Membimbing Dalam Menghasilkan Disertasi, Thesis, Skripsi &amp; Laporan Akhir Studi</t>
  </si>
  <si>
    <t xml:space="preserve">Pembimbing Utama </t>
  </si>
  <si>
    <t>Laporan Akhir</t>
  </si>
  <si>
    <t>Pembimbing Pendamping/Pembantu</t>
  </si>
  <si>
    <t>Bertugas Sebagai Penguji Pada Ujian Akhir</t>
  </si>
  <si>
    <t>Ketua Penguji</t>
  </si>
  <si>
    <t>Anggota Penguji</t>
  </si>
  <si>
    <t>Membina Kegiatan Mahasiswa</t>
  </si>
  <si>
    <t>Melakukan Pembinaan Kegiatan Mahasiswa di Bidang Akademik &amp; Kemahasiswaan</t>
  </si>
  <si>
    <t>Mengembangkan Program Kuliah</t>
  </si>
  <si>
    <t>Melakukan Kegiatan Pengembangan Program Kuliah</t>
  </si>
  <si>
    <t>Mengembangkan Bahan Pengajaran</t>
  </si>
  <si>
    <t>Buku Ajar</t>
  </si>
  <si>
    <t>Diktat, Modul, Petunjuk Praktikum, Model, Alat Bantu, Audio Visual, Naskah Tutorial</t>
  </si>
  <si>
    <t>Melakukan Kegiatan Orasi Ilmiah Pada Perguruan Tinggi</t>
  </si>
  <si>
    <t>Menduduki Jabatan Pimpinan Perguruan Tinggi</t>
  </si>
  <si>
    <t>Pembantu Rektor/Dekan/Direktur Program Pasca Sarjana</t>
  </si>
  <si>
    <t>Ketua Sekolah Tinggi/Pembantu Dekan/Asisten Direktur Program Pasca Sarjana/Direktur Politeknik</t>
  </si>
  <si>
    <t xml:space="preserve">Pembantu Ketua Sekolah Tinggi/Pembantu Direktur Politeknik </t>
  </si>
  <si>
    <t>Direktur Akademi</t>
  </si>
  <si>
    <t>Pembantu Direktur Akademi/Ketua Jurusan/Bagian Pada Universitas/Institut/Sekolah Tinggi</t>
  </si>
  <si>
    <t>Ketua Jurusan Pada Politeknik/Akademi/Sekretaris Jurusan/Bagian Pada Universitas/Institut/Sekolah Tinggi</t>
  </si>
  <si>
    <t>Sekretaris Jurusan Pada Politeknik/Akademik &amp; Kepala Laboratorium Universitas/Institut/Sekolah Tinggi/Politeknik/Akademi</t>
  </si>
  <si>
    <t>Membimbing Akademik Dosen Yang Lebih Rendah Jabatannya</t>
  </si>
  <si>
    <t>Pembimbing Pencangkokan</t>
  </si>
  <si>
    <t>Melaksanakan Kegiatan Detasering &amp; Pencangkokan Akademik Dosen</t>
  </si>
  <si>
    <t>Melakukan Kegiatan Pengembangan Diri Untuk Meningkatkan Kompetensi</t>
  </si>
  <si>
    <t>Lamanya Lebih Dari 960 Jam</t>
  </si>
  <si>
    <t>Lamanya 641-960 Jam</t>
  </si>
  <si>
    <t>Lamanya 481-640 Jam</t>
  </si>
  <si>
    <t>Lamanya 161-480 Jam</t>
  </si>
  <si>
    <t>Lamanya 81-160 Jam</t>
  </si>
  <si>
    <t>Lamanya 31-80 Jam</t>
  </si>
  <si>
    <t>Lamanya 10-30 Jam</t>
  </si>
  <si>
    <t xml:space="preserve">Menghasilkan Karya Ilmiah </t>
  </si>
  <si>
    <t>Hasil Penelitian Atau Pemikiran Yang Dipublikasikan</t>
  </si>
  <si>
    <t>Dalam Bentuk :</t>
  </si>
  <si>
    <t>Buku Referensi</t>
  </si>
  <si>
    <t>Book Chapter</t>
  </si>
  <si>
    <t>Jurnal Ilmiah :</t>
  </si>
  <si>
    <t>Nasional Terakreditasi</t>
  </si>
  <si>
    <t>Tidak Terakreditasi</t>
  </si>
  <si>
    <t>Disajikan Tingkat :</t>
  </si>
  <si>
    <t>Poster Tingkat :</t>
  </si>
  <si>
    <t>Dalam Koran/Majalah Populer/Umum</t>
  </si>
  <si>
    <t>Hasil Penelitian Atau Hasil Pemikiran Yang Tidak di Publikasikan (Tersimpan di Perpustakaan Perguruan Tinggi)</t>
  </si>
  <si>
    <t>Menerjemahkan / Menyadur Buku Ilmiah</t>
  </si>
  <si>
    <t>Diterbitkan &amp; Diedarkan Secara Nasional</t>
  </si>
  <si>
    <t>Mengedit/Menyunting Karya Ilmiah</t>
  </si>
  <si>
    <t>Membuat Rencana &amp; Karya Teknologi Yang dipatenkan</t>
  </si>
  <si>
    <t>Membuat Rancangan &amp; Karya Teknologi, Rancangan &amp; Karya Seni Monumental/Seni Pertunjukan/Karya Sastra</t>
  </si>
  <si>
    <t>Menduduki Jabatan Pimpinan</t>
  </si>
  <si>
    <t>Menduduki Jabatan Pimpinan Pada Lembaga Pemerintahan/Pejabat Negara Yang Harus dibebaskan Dari Jabatan Organiknya</t>
  </si>
  <si>
    <t>Melaksanakan Pengembangan Hasil Pendidikan &amp; Penelitian</t>
  </si>
  <si>
    <t>Melaksanakan Pengembangan Hasil Pendidikan &amp; Penelitian Yang dapat dimanfaatkan Oleh Masyarakat</t>
  </si>
  <si>
    <t>Memberi Latihan/Penyuluhan/Penataran/Ceramah Pada Masyarakat</t>
  </si>
  <si>
    <t>Terjadwal/Terprogram</t>
  </si>
  <si>
    <t>Dalam Satu Semester Atau Lebih</t>
  </si>
  <si>
    <t>Kurang Dari Satu Semester &amp; Minimal Satu Bulan</t>
  </si>
  <si>
    <t>Memberi Pelayanan KePada Masyarakat Atau Kegiatan Lain Yang Menunjang Pelaksanaan Tugas Umum Pemerintah &amp; Pembangunan</t>
  </si>
  <si>
    <t>Berdasarkan Bidang Keahlian</t>
  </si>
  <si>
    <t>Berdasarkan Penugasan Lembaga Perguruan Tinggi</t>
  </si>
  <si>
    <t>Berdasarkan Fungsi/Jabatan</t>
  </si>
  <si>
    <t>Membuat/Menulis Karya Pengabdian</t>
  </si>
  <si>
    <t>Membuat/Menulis Karya Pengabdian Pada Masyarakat Yang Tidak Dipublikasikan</t>
  </si>
  <si>
    <t>Menjadi Anggota Dalam Suatu Panitia / Badan Pada Perguruan Tinggi</t>
  </si>
  <si>
    <t>Sebagai Ketua/Wakil Ketua Merangkap Anggota</t>
  </si>
  <si>
    <t>Sebagai Anggota</t>
  </si>
  <si>
    <t>Menjadi Anggota Panitia/Badan Pada Lembaga Pemerintah</t>
  </si>
  <si>
    <t>Panitia Pusat</t>
  </si>
  <si>
    <t>Panitia Daerah</t>
  </si>
  <si>
    <t>Anggota Atas Permintaan</t>
  </si>
  <si>
    <t>Mewakili Perguruan Tinggi/Lembaga Pemerintah Duduk Dalam Panitia Antar Lembaga</t>
  </si>
  <si>
    <t>Menjadi Anggota Delegasi Nasional Ke Pertemuan Internasional</t>
  </si>
  <si>
    <t>Sebagai Ketua Delegasi</t>
  </si>
  <si>
    <t>Sebagai Anggota Delegasi</t>
  </si>
  <si>
    <t>Berperan Serta Aktif Dalam Pengelolaan Jurnal Ilmiah (Per Tahun)</t>
  </si>
  <si>
    <t>Editor/Dewan Redaksi Pada Jurnal Internasional</t>
  </si>
  <si>
    <t>Editor/Dewan Redaksi Pada Jurnal Nasional</t>
  </si>
  <si>
    <t>Berperan Serta Aktif Dalam Pertemuan Ilmiah</t>
  </si>
  <si>
    <t>Tingkat Internasional/Nasional/Regional Sebagai :</t>
  </si>
  <si>
    <t>Di Lingkungan Perguruan Tinggi Sebagai :</t>
  </si>
  <si>
    <t>Mendapat Penghargaan/Tanda Jasa</t>
  </si>
  <si>
    <t>Penghargaan/Tanda Jasa Satya Lancana Karya Satya</t>
  </si>
  <si>
    <t>30 (Tiga Puluh) Tahun</t>
  </si>
  <si>
    <t>20 (Dua Puluh) Tahun</t>
  </si>
  <si>
    <t>10 (Sepuluh) Tahun</t>
  </si>
  <si>
    <t>Memperoleh Penghargaan Lainnya</t>
  </si>
  <si>
    <t>Tingkat Provinsi</t>
  </si>
  <si>
    <t>Menulis Buku Pelajaran SLTA Ke Bawah Yang Diterbitkan &amp; Diedarkan Secara Nasional</t>
  </si>
  <si>
    <t>Buku SLTA / Setingkat</t>
  </si>
  <si>
    <t>Buku SLTP / Setingkat</t>
  </si>
  <si>
    <t>Buku SD / Setingkat</t>
  </si>
  <si>
    <t>Mempunyai Prestasi di Bidang Olahraga/Humaniora</t>
  </si>
  <si>
    <t>Tingkat Daerah/Lokal</t>
  </si>
  <si>
    <t>Keanggotaan Dalam Tim Penilaian</t>
  </si>
  <si>
    <t>Menjadi Anggota Tim Penilaian  Jabatan Akademik Dosen</t>
  </si>
  <si>
    <t>TOTAL (UNSUR UTAMA + UNSUR PENUNJANG</t>
  </si>
  <si>
    <t>Surat Pernyataan Telah Melaksanakan Kegiatan Pendidikan</t>
  </si>
  <si>
    <t>Surat Pernyataan Telah Melakukan Kegiatan Pengajaran</t>
  </si>
  <si>
    <t>Surat Pernyataan Telah Melakukan Kegiatan Penelitian</t>
  </si>
  <si>
    <t>Surat Pernyataan Telah Melakukan Kegiatan Pengabdian Kepada Masyarakat</t>
  </si>
  <si>
    <t xml:space="preserve">Surat Pernyataan Melakukan Kegiatan Penunjang </t>
  </si>
  <si>
    <t>Anggota Tim Penilai 1</t>
  </si>
  <si>
    <t>NIK/NIDN.</t>
  </si>
  <si>
    <t>Anggota Tim Penilai 2</t>
  </si>
  <si>
    <t xml:space="preserve">Ketua Tim Penilai, </t>
  </si>
  <si>
    <t>Rektor Universitas Telkom,</t>
  </si>
  <si>
    <t>Prof. Ir. Mochamad Ashari, M.Eng., Ph.D.</t>
  </si>
  <si>
    <t>NIK. 13650035</t>
  </si>
  <si>
    <t>Field tersebut otomatis terisi apabila nama dan NIP yang bertanda tangan pada lampiran II diisi</t>
  </si>
  <si>
    <t>Field di sebelah otomatis terisi apabila fakultas dan jurusan sudah dipilih pada Field keterangan perorangan</t>
  </si>
  <si>
    <t xml:space="preserve"> Sarjana (S1)</t>
  </si>
  <si>
    <t>Hasil Penelitian Atau Hasil Pemikiran Yang Dipublikasikan Pada Jurnal Internasional</t>
  </si>
  <si>
    <t>Hasil Penelitian Atau Hasil Pemikiran Yang Dipublikasikan Pada Jurnal Nasional</t>
  </si>
  <si>
    <t>Hasil Penelitian Atau Hasil Pemikiran Yang Dipublikasikan Pada Prosiding Internasional</t>
  </si>
  <si>
    <t>Hasil Penelitian Atau Hasil Pemikiran Yang Dipublikasikan Pada Prosiding Nasional</t>
  </si>
  <si>
    <t>Hasil Penelitian/Pemikiran Yang Disajikan Dalam Koran/Majalah Populer/Umum</t>
  </si>
  <si>
    <t>Hasil Penelitian Atau Pemikiran Atau Kerjasama Industri Yang Tidak Dipublikasikan (Tersimpan Dalam Perpustakaan)</t>
  </si>
  <si>
    <t>Hasil Penelitian Atau Hasil Pemikiran Yang Dipublikasikan Dalam Bentuk Buku</t>
  </si>
  <si>
    <t>Karya Tulis
Link Url</t>
  </si>
  <si>
    <t>Karya Tulis
Link Url / repository</t>
  </si>
  <si>
    <t>Buku Eksamplar</t>
  </si>
  <si>
    <t>(ke-1)</t>
  </si>
  <si>
    <t>Hasil Penelitian/Pemikiran Yang Disajikan Dalam Poster</t>
  </si>
  <si>
    <t>2017/2018</t>
  </si>
  <si>
    <t>2018/2019</t>
  </si>
  <si>
    <t>2019/2020</t>
  </si>
  <si>
    <t>2016/2017</t>
  </si>
  <si>
    <t>AK PTS
(HASIL PEER REVIEW)</t>
  </si>
  <si>
    <t>AK
KOPERTIS</t>
  </si>
  <si>
    <t xml:space="preserve">                                                                                                                                                                                                                                                                                                                                                                                                                                                                              </t>
  </si>
  <si>
    <t>Jurnal Internasional</t>
  </si>
  <si>
    <t>Jurnal Nasional</t>
  </si>
  <si>
    <t>Prosiding Internasional</t>
  </si>
  <si>
    <t>Prosiding Nasional</t>
  </si>
  <si>
    <t>Hasil pemikiran dalam Poster</t>
  </si>
  <si>
    <t>: Kotak berwarna MERAH rumus yang akan otomatis terisi apabila Lampiran III sudah diisi</t>
  </si>
  <si>
    <t>Untuk Row yang tidak diisi / dilewat mohon dihide, untuk field yang kurang, bisa copy Row kemudian Insert Row
Created By : Nathaleo M. Apon.</t>
  </si>
  <si>
    <t>1. Untuk pengajuan ke Asisten Ahli / Lektor,pada Lampiran Pendukung DUPAK isikan nama Ketua Program Studi, nama Pejabat Pengusul diisikan nama Rektor Tel- U</t>
  </si>
  <si>
    <t>Bandung,                                            2018</t>
  </si>
  <si>
    <t>1. Setiap Persentase lebih dari 5% dan / atau satu paragraf (non parafrase) sama persis WAJIB diberi keterangan dan apabila ditemukan lebih dari 1 Paragraf tanpa sitasi sesuai kewajaran/kepatutan penulisan karya ilmiah,karya tersebut tidak dapat (jangan) diusulkan untuk kenaikan  JAD
2.  Exclude hanya pada similarity antar Publisher dengan Repository, lalu beri keterangan pada kolom Keterangan Similarity
3. CrossRef jangan diexclude namun beri keterangan pada kolom Rincian dan Keterangan Similarity
4. Bila ditemukan similarity tinggi karena disitasi orang lain, beri keterangan pada rincian &amp; keterangan similarity beserta tahun terbit dan tahun disitasi (bila publish duluan, aman)</t>
  </si>
  <si>
    <t>Rekapitulasi Hasil Penelusuran Similarity Karya Ilmiah dengan Tool i-Thenticate</t>
  </si>
  <si>
    <t>Usulan Jabatan Akademik Dosen ke- [Asisten Ahli, Lektor, Lektor Kepala, Guru Besar] a.n. Dr. Ir. Endang Soekamti, M.Sc. [CONTOH]</t>
  </si>
  <si>
    <t>NIP.  00630011</t>
  </si>
  <si>
    <t>Dr. Ida Nurnida, MM.</t>
  </si>
  <si>
    <t>[CONTOH] Diupload pada Blog: namadosen.staff.terlkomuniversity.ac.id
Domain telkomuniversity.ac.id</t>
  </si>
  <si>
    <t>Dr. Deni Hermawan:
http://diditwidiatmoko.staff.telkomuniversity.ac.id/files/2017/12/Penilaian-Peer-Review-Deni-Hermawan-1.pdf
Dr. Irfansyah: http://diditwidiatmoko.staff.telkomuniversity.ac.id/files/2017/12/Penilaian-Peer-Review-Irfansyah.pdf</t>
  </si>
  <si>
    <t>http://diditwidiatmoko.staff.telkomuniversity.ac.id/files/2017/12/Visualisasi-Iklan-Indonesia-era-1950-1957.pdf</t>
  </si>
  <si>
    <t>http://diditwidiatmoko.staff.telkomuniversity.ac.id/files/2017/12/16.-Visualisasi-Iklan-Indonesia-era-1950-1957.pdf</t>
  </si>
  <si>
    <t>Diterbitkan Calpulis, Edisi 2, ISBN : 978-602-73097-0-8, Tahun 2015 , Penulis Mandiri</t>
  </si>
  <si>
    <t>Buku Monograf</t>
  </si>
  <si>
    <t>Visualisasi Iklan Indonesia era 1950 - 1957 Edisi 2</t>
  </si>
  <si>
    <t>http://diditwidiatmoko.staff.telkomuniversity.ac.id/files/2017/12/Persuasi-Visual-Pada-Iklan-Rokok-Antara-Regulasi-dan-Menyiasati.pdf</t>
  </si>
  <si>
    <t>http://diditwidiatmoko.staff.telkomuniversity.ac.id/files/2017/12/15.-Persuasi-Visual-Pada-Iklan-Rokok-Antara-Regulasi-dan-Menyiasati.pdf</t>
  </si>
  <si>
    <t>Antologi Desain Grafis Indonesia, Diterbitkan oleh DGI Press, PT Desain Grafis Indonesia, 2014, ISBN 978-602-14564-1-5, Hal 11-22 , Penulis Mandiri</t>
  </si>
  <si>
    <t>Persuasi Visual pada Iklan Rokok, antara Regulasi dan Menyiasati</t>
  </si>
  <si>
    <t>http://diditwidiatmoko.staff.telkomuniversity.ac.id/files/2017/12/Metodologi-Penelitian-Visual.pdf</t>
  </si>
  <si>
    <t xml:space="preserve">http://diditwidiatmoko.staff.telkomuniversity.ac.id/files/2017/12/Metodologi-Penelitian-Visual.pdf
https://openlibrary.telkomuniversity.ac.id/pustaka/29653/metodologi-penelitian-visual-dari-seminar-ke-tugas-akhir.html
http://buku.kabarkita.org/55911-metodologi-penelitian-visual-dari-seminar-ke-tugas-akhir - http://digilib.senirupaikj.ac.id/index.php?p=show_detail&amp;id=2733
</t>
  </si>
  <si>
    <t xml:space="preserve">Diterbitkan Oleh : CV Dinamika Komunika, 97 Halaman, ISBN : 978-602-14869-0-0 </t>
  </si>
  <si>
    <t>Metodologi Penelitian Visual dari Seminar ke Tugas Akhir</t>
  </si>
  <si>
    <t>http://diditwidiatmoko.staff.telkomuniversity.ac.id/files/2017/12/Brand-Identity-Design-for-The-Bay-Bali-Jurnal-Komunikasi-Visual-Wimba-ITB-2014.pdf</t>
  </si>
  <si>
    <t>http://diditwidiatmoko.staff.telkomuniversity.ac.id/files/2017/12/13.-Telkom-Speedy-Promotion-Vvisualization-Using-Local-Cultural-Elements.pdf</t>
  </si>
  <si>
    <t>dipublikasikan pada Proceedings KNSI 2013, ISBN 978-602-17488-0-0, KNSI-191, Hal 54, Penulis ke-2 dari 2</t>
  </si>
  <si>
    <t>Telkom Speedy Promotion Visualization Using Local Cultural Elementsin The Provinceof Northern Sumatra</t>
  </si>
  <si>
    <t>http://diditwidiatmoko.staff.telkomuniversity.ac.id/files/2017/12/SISTEM-PENILAIAN-PROGRAM-TELEVISI-BERBASIS-AUDIO-VISUALprosiding-konferensi-Nasional-KNSI-Medan-tahun-2011.pdf</t>
  </si>
  <si>
    <t>Dipublikasikan pada Prosiding Nasional KNSI, Konferensi Nasional Sistem Informasi 2011, ISBN : 978-602-98768-0-2, Hal 147-155, Penulis ke-1 dari 3</t>
  </si>
  <si>
    <t>Sistem Penilaian Program Televisi Berbasis Pendekatan Audio Visual</t>
  </si>
  <si>
    <t>http://diditwidiatmoko.staff.telkomuniversity.ac.id/files/2017/12/Visual-Character-Indonesian-Print-Advertisement-of-year-1970-1976.pdf</t>
  </si>
  <si>
    <t>http://diditwidiatmoko.staff.telkomuniversity.ac.id/files/2017/12/11.-Visual-Character-Indonesian-Print-Advertisement-of.pdf</t>
  </si>
  <si>
    <t>Dipublikasikan pada Proceeding Asia Creative Writing Conference, The Role of Local Wisdom in Shaping Identity, ISBN 978-979-028-644-3, Hal. 82-93, Penulis Mandiri</t>
  </si>
  <si>
    <t>Visual Character of Indonesia Printed Advertisement 1970-1976</t>
  </si>
  <si>
    <t>http://diditwidiatmoko.staff.telkomuniversity.ac.id/files/2017/12/Indonesian-Visual-Character-in-1950%E2%80%99s-Print-Ads-Prosiding-The-3rd-International-Conference-on-Urban-Mobility-Unair-2012.pdf</t>
  </si>
  <si>
    <t>Dipublikasikan pada Proceedings, The 3rd International Conference on Urban Mobility, its impacts on Socio Cultural and Health Issues, Faculty of Humanities and Faculty of Public Health, University Airlangga, Surabaya, 7-8 December 2012, Penulis ke-1 dari 4</t>
  </si>
  <si>
    <t xml:space="preserve">Indonesian Visual Character in 1950's Print Advertisements </t>
  </si>
  <si>
    <t>Keterangan Link</t>
  </si>
  <si>
    <t>Link Untuk download Full Paper Only</t>
  </si>
  <si>
    <t>Link Full Paper + Cover + Editorial Board
(Paper with Identity) +
Hasil Penelusuran Similarity</t>
  </si>
  <si>
    <t>Identitas Karya Ilmiah 
(lengkap Halaman)
(Untuk Prosiding lengkap dengan nama penyelenggara, Nama Seminar, Waktu Pelaksaan)</t>
  </si>
  <si>
    <t>Bentuk Karya</t>
  </si>
  <si>
    <t>Hasil Upload Direct Link Publikasi untuk Pemeriksaan Tim Validator Kopertis dan RistekDikti
Usulan Jabatan Akademik Dosen ke- [LEKTOR KEPALA] a.n. Dr. Didit Widiatmoko Soewardikoen, M.Sn</t>
  </si>
  <si>
    <t>Total AKK Capaian</t>
  </si>
  <si>
    <t>LEKTOR KEPALA (IV/a) 400</t>
  </si>
  <si>
    <t>LEKTOR KEPALA (IV/b) 550</t>
  </si>
  <si>
    <t>LEKTOR KEPALA (IV/c) 700</t>
  </si>
  <si>
    <t>GURU BESAR (IV/d) 850</t>
  </si>
  <si>
    <t>GURU BESAR (IV/e) 1050</t>
  </si>
  <si>
    <t>Pembimbing Utama</t>
  </si>
  <si>
    <t>Pembimbing Pendamping</t>
  </si>
  <si>
    <t>KETUA PEMBINA USAHA TANI( CONTOH )</t>
  </si>
  <si>
    <t>a.Sebagai Ketua/wakil ketua pertahun</t>
  </si>
  <si>
    <t>Simon Siregar</t>
  </si>
  <si>
    <t>410038203 / 14820015</t>
  </si>
  <si>
    <t>Pusuk, 10 Maret 1982</t>
  </si>
  <si>
    <t>Laki-laki</t>
  </si>
  <si>
    <t>Lektor</t>
  </si>
  <si>
    <t>4 Tahun 10 Bulan</t>
  </si>
  <si>
    <t>3 tahun 1 bulan</t>
  </si>
  <si>
    <t>Setia Juli Irzal Ismail</t>
  </si>
  <si>
    <t>Tenaga Pengajar</t>
  </si>
  <si>
    <t>Penata / IIIC</t>
  </si>
  <si>
    <t>Pengenalan Teknik Komputer, 2 SKS, 1 Kelas</t>
  </si>
  <si>
    <t>Pemodelan dan Simulasi, 2 SKS, 1 Kelas</t>
  </si>
  <si>
    <t>Sistem PLC, 4 SKS, 1 Kelas</t>
  </si>
  <si>
    <t>058B/AKD6/IT-DEK/15</t>
  </si>
  <si>
    <t>Mikroelektronika, 4 SKS, 2 Kelas</t>
  </si>
  <si>
    <t>Sistem Kendali, 2 SKS, 1 Kelas</t>
  </si>
  <si>
    <t>Bahasa Rakitan, 4 SKS, 1 Kelas</t>
  </si>
  <si>
    <t>Antar Muka Pengguna dan Periferal, 2 SKS, 1 Kelas</t>
  </si>
  <si>
    <t>Teknologi LAN Switching, 3 SKS, 1 Kelas</t>
  </si>
  <si>
    <t>Interface, Peripheral dan Komunikasi, 4 SKS, 1 Kelas</t>
  </si>
  <si>
    <t>Sistem Microcontroller, 4 SKS, 1 Kelas</t>
  </si>
  <si>
    <t>Membimbing Kerja Praktek</t>
  </si>
  <si>
    <t>096/AKD6/IT-DEK/16</t>
  </si>
  <si>
    <t>008/AKD6/IT-DEK/16</t>
  </si>
  <si>
    <t>016/AKD6/IT-DEK/2017</t>
  </si>
  <si>
    <t>065/AKD11/IT-DEK/2016</t>
  </si>
  <si>
    <t>Membimbing KKN/PKL/PKN/PKL per semester</t>
  </si>
  <si>
    <t>Lisa Mardiana (6302131080)</t>
  </si>
  <si>
    <t>1771/AKD9/IT-DEK/2016</t>
  </si>
  <si>
    <t>Laporan akhir studi</t>
  </si>
  <si>
    <t>Irma Damayanti (6302134029)</t>
  </si>
  <si>
    <t>Novalia Yuni Kartika (6302134005)</t>
  </si>
  <si>
    <t>Muki Wahyu Jati Pratomo (6302124023)</t>
  </si>
  <si>
    <t>Ismail (6302131047)</t>
  </si>
  <si>
    <t>Muhammad Iqbal Saleh (6302131066)</t>
  </si>
  <si>
    <t>Seni Meilani Putri (6302131081)</t>
  </si>
  <si>
    <t>Jul Teguh Ariansyah (6302130035)</t>
  </si>
  <si>
    <t>Akbar Athoila (6302124021)</t>
  </si>
  <si>
    <t>Muhammad Ar Rasyid (6302122146)</t>
  </si>
  <si>
    <t>1225/AKD9/IT-DEK/2016</t>
  </si>
  <si>
    <t>1235/AKD9/IT-DEK/2016</t>
  </si>
  <si>
    <t>475/AKD9/IT-DEK/2015</t>
  </si>
  <si>
    <t>1226/AKD9/IT-DEK/2016</t>
  </si>
  <si>
    <t>1663/AKD9/IT-DEK/2016</t>
  </si>
  <si>
    <t>1248/AKD9/IT-DEK/2016</t>
  </si>
  <si>
    <t>1606/AKD9/IT-DEK/2016</t>
  </si>
  <si>
    <t>1603/AKD9/IT-DEK/2016</t>
  </si>
  <si>
    <t>1121/AKD9/IT-DEK/2016</t>
  </si>
  <si>
    <t>Daniel Adhi Pratama Putra (6702144044)</t>
  </si>
  <si>
    <t>Alek Riski Sianturi (6302120145)</t>
  </si>
  <si>
    <t>Indah Trizkiyani (6702140023)</t>
  </si>
  <si>
    <t>2409/AKD9/IT-DEK/2017</t>
  </si>
  <si>
    <t>1952/AKD9/IT-DEK/2017</t>
  </si>
  <si>
    <t>2438/AKD9/IT-DEK/2017</t>
  </si>
  <si>
    <t>Dimas Jatikusuma (6302120140)</t>
  </si>
  <si>
    <t>Rida Firana (6302134009)</t>
  </si>
  <si>
    <t>Faishal Ridho Prawenda (6302130037)</t>
  </si>
  <si>
    <t>Muhammad Fathin (6302124034)</t>
  </si>
  <si>
    <t>Lanjar Auf Ghifari (6302130086)</t>
  </si>
  <si>
    <t>Muhammad Agung Baskoro (6302134013)</t>
  </si>
  <si>
    <t>Ismayana Teguh Pratama (6302130112)</t>
  </si>
  <si>
    <t>Perdian Rumaatmaja (6302132100)</t>
  </si>
  <si>
    <t>Rahmatika Putri (6302130105)</t>
  </si>
  <si>
    <t>Rizal Rivai (6302131050)</t>
  </si>
  <si>
    <t>Afrizul Saputra (6702140011)</t>
  </si>
  <si>
    <t>25 Hour IELTS Workshop; Tips and Strategies</t>
  </si>
  <si>
    <t>Salinan Sertifikat IDP</t>
  </si>
  <si>
    <t>Computing Fundamental - IC3 Dgital Literacy Certification</t>
  </si>
  <si>
    <t>Workshop on Scientific Paper Writing in Applied Science</t>
  </si>
  <si>
    <t>Salinan Sertifikat IC3</t>
  </si>
  <si>
    <t>No. 015/SDM10/IT-DEK/2016</t>
  </si>
  <si>
    <t>Simon Siregar, Marlindia Ike Sari, Rakhmi Jauhari</t>
  </si>
  <si>
    <t>Automation System Hydroponic Using Smart Solar Power Plant Unit
Jurnal Teknologi
Terakreditasi
Vol 78, No 5-7, 2016</t>
  </si>
  <si>
    <t>May 2016</t>
  </si>
  <si>
    <t>(Penilaian Senat/TPAK Fakultas / Universitas)</t>
  </si>
  <si>
    <t>(Diisi oleh Tim Kopertis IV)</t>
  </si>
  <si>
    <t>3 Penulis (ke-1)</t>
  </si>
  <si>
    <t>Muhammad Ikhsan Sani, Simon Siregar, Aris Pujud Kurniawan, Muhammad Abid Irwan</t>
  </si>
  <si>
    <t>FIToplankton : Wireless Controlled Remotely-Operated Underwater Vehicle (ROV) for Shallow Water Exploration
International Journal of Electrical and Computer Engineering (IJECE)
Terakreditasi
Vol 8, No 5, 2018</t>
  </si>
  <si>
    <t>4 Penulis (ke-2)</t>
  </si>
  <si>
    <t>Oktober 2018</t>
  </si>
  <si>
    <t>Muhammad Ikhsan Sani, Simon Siregar, Aris Pujud Kurniawan, Rakhmi Jauhari, Chintya</t>
  </si>
  <si>
    <t>13-15 Sept. 2016</t>
  </si>
  <si>
    <t>Web-Based Monitoring and Control System for 
Aeroponics Growing Chamber 
Proceeding International
IEEE Xplorer</t>
  </si>
  <si>
    <t>3 Nov. 2017</t>
  </si>
  <si>
    <t>Muhammad Ikhsan Sani, Simon Siregar, Muhammad Zein Irsyad,Yurvan Igo Wibowo</t>
  </si>
  <si>
    <t>Navigation System for Smartphone-based 
Autonomous Underwater Vehicle
2017 International Conference on Smart Cities, Automation &amp; Intelligent Computing Systems
Yogyakarta, Indonesia, November 08-10, 2017
IEEE Xplorer</t>
  </si>
  <si>
    <t>Rini Handayani, Simon Siregar</t>
  </si>
  <si>
    <t>2 Penulis (ke-2)</t>
  </si>
  <si>
    <t>Simon Siregar, Muhammad Ikhsan Sani,Marlindia Ike Sari</t>
  </si>
  <si>
    <t>A Prototype of a Quad Rotor System for Forest Fire Monitoring
The 1st International Conference on Satellite Technology 2017 (ICST)
Bandung, Indonesia, November 3, 2017</t>
  </si>
  <si>
    <t>Simon Siregar, Muhammad Ikhsan Sani,Muhammad Muchlis Kurnia, Dzikri Hasbialloh</t>
  </si>
  <si>
    <t>10 Juli 2017</t>
  </si>
  <si>
    <t>Implementasi Pergerakan Omnidirectional pada Three-Omniwheeled Robot
The 6th Indonesian Symposium on Robotic Sytems and Control (ISRSC)
Yogyakarta, Indonesia, Juli 10, 2017</t>
  </si>
  <si>
    <t>4 Penulis (ke-1)</t>
  </si>
  <si>
    <t>2.4 GHz Wireless Data Acquisition System for FIToplankton ROV
International Conference on Information and Communication Technology 2018
Bandung, Indonesia, Mei 3, 2018 
IEEE Xplorer</t>
  </si>
  <si>
    <t>3 Mei 2018 (Terbit 12 Nov 2018)</t>
  </si>
  <si>
    <t>13-15 Sept. 2016 (Terbit 16 Jan 2017)</t>
  </si>
  <si>
    <t>8-10 Nov. 2017 (Terbit 25 Jan 2018)</t>
  </si>
  <si>
    <t>Simon Siregar, Muhammad Ikhsan Sani, Aris Pujud Kurniawan</t>
  </si>
  <si>
    <t xml:space="preserve"> 22 Juni 2016</t>
  </si>
  <si>
    <t>APLIKASI  SISTEM  ANTRIAN PUSKESMAS</t>
  </si>
  <si>
    <t>Mia Rosmiati, Periyadi, Simon Siregar, Devie Ryana Suchendra, Henry Rossi Adrian, Choerul Umam</t>
  </si>
  <si>
    <t>18 Sep. 2018</t>
  </si>
  <si>
    <t>Marlindia Ike Sari, Rini Handayani, Simon Siregar, Bagus Isnu</t>
  </si>
  <si>
    <t>Implementasi Komunikasi Nirkabel 433Mhz Menggunakan APC220 Transceiver Pada Robot Musik Angklung  
Jurnal Nasional Teknologi dan Sistem Informasi TEKNOSI
Terakreditasi S3 Sinta
Vol 3, No 1 (2017)</t>
  </si>
  <si>
    <t>4 Penulis (ke-3)</t>
  </si>
  <si>
    <t>Jurnal Nasional Terakreditasi Sinta S3 dan Terindex DOAJ</t>
  </si>
  <si>
    <t>Jurnal Nasional Terakreditasi Sinta S4 dan Terindex DOAJ</t>
  </si>
  <si>
    <t>Muhammad Ikhsan Sani, Simon Siregar, Marlindia Ike Sari, Lisa Mardiana</t>
  </si>
  <si>
    <t>b.Nasional</t>
  </si>
  <si>
    <t>4 Penulis (ke-4)</t>
  </si>
  <si>
    <t>SISMAP ( Smart ID Scanner Mac Address For Presence 
System)</t>
  </si>
  <si>
    <t>1+37:523</t>
  </si>
  <si>
    <t>Pembuatan Tiket Antrian Berbasis Elektronik di Poli Umum Puskesmas Bale Endah</t>
  </si>
  <si>
    <t>Gasal 2015/2016</t>
  </si>
  <si>
    <t>Pembuatan Web Desa Binaan ENS Di Kelurahan Cijawura</t>
  </si>
  <si>
    <t>Genap 2016/2017</t>
  </si>
  <si>
    <t>Salinan SK No. KR. 166/ABDI3/PPM/2016</t>
  </si>
  <si>
    <t>Salinan SK No. KR. 610/ABDI3/PPM/2017</t>
  </si>
  <si>
    <t>Melaksanakan pengembangan perprogram</t>
  </si>
  <si>
    <t>Pelatihan Pembuatan Blog dan Vlog bagi Staff Kelurahan Cijawura</t>
  </si>
  <si>
    <t>Gasal 2016/2017</t>
  </si>
  <si>
    <t>KR. 461/ABDI3/PPM/2016</t>
  </si>
  <si>
    <t>Pembina Laboratorium MicroPLC</t>
  </si>
  <si>
    <t>Semester Genap 2015/2016</t>
  </si>
  <si>
    <t>Paper Presenter di acara International Conference on Control, Electronics, Renewable Energy, and Communications (ICCEREC) 2016</t>
  </si>
  <si>
    <t>13-15 September 2016</t>
  </si>
  <si>
    <t>Paper Presenter di acara Advanced Research in Engineering and Information Technology International Conference (AREITIC) 2016</t>
  </si>
  <si>
    <t>31 Mei -2 Juni 2016</t>
  </si>
  <si>
    <t>Salinan sertifikat</t>
  </si>
  <si>
    <t xml:space="preserve">Piagam Penghargaan dari World Robot Games 2016 sebagai Judge of Honour (Juri Kehormatan) </t>
  </si>
  <si>
    <t>Piagam Penghargaan dari Joint Program University of Malaya dan Universitas Telkom sebagai Trainer</t>
  </si>
  <si>
    <t>Piagam penghargaan dari Kementerian RISTEK DIKTI sebagai Dosen Pendamping Tim Badaya SAS Kategori Kontes Robot Seni Tari Indonesia (KRSTI) di Kontes Robot Indonesia Tingkat Nasional 2017</t>
  </si>
  <si>
    <t>24-26 Agustus 2016</t>
  </si>
  <si>
    <t>23-31 October 2016</t>
  </si>
  <si>
    <t>6-9 Juli 2017</t>
  </si>
  <si>
    <t>Salinan piagam penghargaan</t>
  </si>
  <si>
    <t>Salinan piagam penghargaan No. 1608/B3.1/KM/2017</t>
  </si>
  <si>
    <t>d.Penghargaan lainnya Tingkat Internasional</t>
  </si>
  <si>
    <t>e.Penghargaan lainnya Tingkat Nasional</t>
  </si>
  <si>
    <t>Jurnal Teknologi. Vol 78, No 5-7, 2016</t>
  </si>
  <si>
    <t>FIToplankton : Wireless Controlled Remotely-Operated Underwater Vehicle (ROV) for Shallow Water Exploration</t>
  </si>
  <si>
    <t>https://www.iaescore.com/journals/index.php/IJECE/article/view/9500</t>
  </si>
  <si>
    <t>https://telka.ee.uinsgd.ac.id/index.php/TELKA/article/view/telka.v4n2.85-90/pdf</t>
  </si>
  <si>
    <t xml:space="preserve">Pemilah Benda Berdasarkan Warna
Menggunakan Sensor Warna TCS3200  </t>
  </si>
  <si>
    <t xml:space="preserve">Implementasi Komunikasi Nirkabel 433Mhz Menggunakan APC220 Transceiver Pada Robot Musik Angklung  </t>
  </si>
  <si>
    <t>Pemilah Benda Berdasarkan Warna
Menggunakan Sensor Warna TCS3200  
Jurnal Telekomunikasi, Elektronik, Komputasi dan Kontrol Terakreditasi S4 Sinta
Vol 4, No 2 (2018)</t>
  </si>
  <si>
    <t>Jurnal Telekomunikasi, Elektronik, Komputasi dan Kontrol Terakreditasi S4 Sinta
Vol 4, No 2 (2018)</t>
  </si>
  <si>
    <t>Jurnal Nasional Teknologi dan Sistem Informasi TEKNOSI
Terakreditasi S3 Sinta
Vol 3, No 1 (2017)</t>
  </si>
  <si>
    <t>International Journal of Electrical and Computer Engineering (IJECE)
Terakreditasi
Vol 8, No 5, 2018</t>
  </si>
  <si>
    <t xml:space="preserve">http://teknosi.fti.unand.ac.id/index.php/teknosi/article/view/246/102 </t>
  </si>
  <si>
    <t xml:space="preserve">Web-Based Monitoring and Control System for 
Aeroponics Growing Chamber </t>
  </si>
  <si>
    <t>IEEE Xplorer</t>
  </si>
  <si>
    <t>https://ieeexplore.ieee.org/document/7814977</t>
  </si>
  <si>
    <t>Navigation System for Smartphone-based 
Autonomous Underwater Vehicle</t>
  </si>
  <si>
    <t>https://ieeexplore.ieee.org/document/8267816/</t>
  </si>
  <si>
    <t>A Prototype of a Quad Rotor System for Forest Fire Monitoring</t>
  </si>
  <si>
    <t>Prosiding International: The 1st International Conference on Satellite Technology 2017 (ICST)</t>
  </si>
  <si>
    <t>2.4 GHz Wireless Data Acquisition System for FIToplankton ROV</t>
  </si>
  <si>
    <t>https://ieeexplore.ieee.org/document/8528795</t>
  </si>
  <si>
    <t>Implementasi Pergerakan Omnidirectional pada Three-Omniwheeled Robot</t>
  </si>
  <si>
    <t>Prosiding Nasional: The 6th Indonesian Symposium on Robotic Sytems and Control (ISRSC)</t>
  </si>
  <si>
    <t>http://kontesrobotindonesia.id/data/ISRSC/ProsidingISRSC2018.pdf</t>
  </si>
  <si>
    <t>a. Crossreff 3% (Referensi Nama)</t>
  </si>
  <si>
    <t>a. Kontesrobotindonesia.id 88% (tempat link Publikasi)</t>
  </si>
  <si>
    <t xml:space="preserve">a. Data Laporan publikasi Telkom University data 83% (data.telkomuniversity.ac.id/detail.php)
b. Tempat Publikasi: Jurnal Teknosi 14% 
c. Crossref 1% 
</t>
  </si>
  <si>
    <t xml:space="preserve">a. Data Laporan publikasi Telkom University data 1% (data.telkomuniversity.ac.id/detail.php)
b. Tempat Publikasi: telka.ee.uinsgd.ac.idi 3% 
c. Crossref 1% 
</t>
  </si>
  <si>
    <t>https://jurnalteknologi.utm.my/index.php/jurnalteknologi/article/view/8713/5177</t>
  </si>
  <si>
    <t xml:space="preserve">Automation System Hydroponic Using Smart Solar Power Plant Unit
</t>
  </si>
  <si>
    <t xml:space="preserve">a. Telkom University 9% (data.telkomuniversity.ac.id/detail.php)
b. Telkom University 4% (Open Library)
c. Crossref 4% 
d. Tempat Publikasi: Jurnal Teknologi 2% 
</t>
  </si>
  <si>
    <t xml:space="preserve">a. Crossreff 5% (informasi tentang penelitian di parafrase)
b. Crossreff 3% (informasi nama penulis)
c. Crossref 1% (lainnya)
</t>
  </si>
  <si>
    <t xml:space="preserve">a. Parafrase (4%)
b. Data Laporan publikasi Telkom University data 1% (data.telkomuniversity.ac.id/detail.php) 
c. Crossreff 3% (informasi nama penulis)
d. datasheet 2% </t>
  </si>
  <si>
    <t xml:space="preserve">a. Crossreff IEEE (tempat Publikasi) Explore 88%
b. Informasi data penelitian 9% 
c. Crossref Penelitian Penulis 3% 
</t>
  </si>
  <si>
    <t>022/AKD9/IT-DEK/2017</t>
  </si>
  <si>
    <t>093/AKD9/IT-DEK/2017</t>
  </si>
  <si>
    <t>111/AKD9/IT-DEK/2017</t>
  </si>
  <si>
    <t>113/AKD9/IT-DEK/2017</t>
  </si>
  <si>
    <t>100/AKD9/IT-DEK/2017</t>
  </si>
  <si>
    <t>097/AKD9/IT-DEK/2017</t>
  </si>
  <si>
    <t>096/AKD9/IT-DEK/2017</t>
  </si>
  <si>
    <t>Salinan paper pada jurnal dan link publikasi: https://jurnalteknologi.utm.my/index.php/jurnalteknologi/article/view/8713/5177 - Jurnal International Bereputasi, SJR 0.156</t>
  </si>
  <si>
    <t xml:space="preserve">Salinan paper pada jurnal dan link publikasi: http://teknosi.fti.unand.ac.id/index.php/teknosi/article/view/246/102 </t>
  </si>
  <si>
    <t>Salinan paper pada jurnal dan link publikasi: https://telka.ee.uinsgd.ac.id/index.php/TELKA/article/view/telka.v4n2.85-90/pdf</t>
  </si>
  <si>
    <t>Salinan paper pada proceeding dan link publikasi: https://ieeexplore.ieee.org/document/7814977</t>
  </si>
  <si>
    <t>Salinan paper pada proceeding dan link publikasi: https://ieeexplore.ieee.org/document/8267816/</t>
  </si>
  <si>
    <t>Salinan paper pada proceeding dan link publikasi: https://siregar.staff.telkomuniversity.ac.id/files/2018/11/1570409442.pdf</t>
  </si>
  <si>
    <t>Salinan paper pada jurnal dan link publikasi: https://www.iaescore.com/journals/index.php/IJECE/article/view/9500 - Jurnal International Bereputasi, SJR 0.296</t>
  </si>
  <si>
    <t>Salinan paper pada proceeding dan link publikasi: https://ieeexplore.ieee.org/document/8528795</t>
  </si>
  <si>
    <t>Salinan paper pada proceeding dan link publikasi: http://kontesrobotindonesia.id/data/ISRSC/ProsidingISRSC2018.pdf</t>
  </si>
  <si>
    <t xml:space="preserve">Jurnal International </t>
  </si>
  <si>
    <t>Muhammad Ikhsan Sani, Simon Siregar, Aris Pujud Kurniawan, Rakhmi Jauhari, Chintya Nermelita</t>
  </si>
  <si>
    <t>Proceeding Internasional</t>
  </si>
  <si>
    <t>Dipublikasikan pada Proceeding Nasional Tidak terakreditasi ISBN 978-602-5450-43-3, Proceedings: The 6th Indonesian Symposium on Robotic System and Control (ISRSC), 10 Juli 2018, Universitas Muhammadiyah Yogyakarta-Indonesia, Penulis ke-1 dari 4</t>
  </si>
  <si>
    <t>Bandung,                                            2019</t>
  </si>
  <si>
    <t>Dipublikasikan pada Jurnal Internasional Terakreditasi Scopus: Jurnal Teknologi EISSN 2180-3722, Vol 78, No 5-7, hal 55-60, 2016, Penulis ke-1 dari 3</t>
  </si>
  <si>
    <t>Dipublikasikan pada Jurnal Internasional Terakreditasi Scopus: International Journal of Electrical and Computer Engineering (IJECE) ISSN 2088-8708, Vol 8, No 5, hal 3325-3332, 2018, Penulis ke-2 dari 4</t>
  </si>
  <si>
    <t>Dipublikasikan pada Jurnal Nasional Terakreditasi RISTEKDIKTI S3-DOAJ:Jurnal Teknologi dan Sistem Informasi (TEKNOSI) p-ISSN 2460-3465; e-ISSN 2476-8812, Vol 3, No 1, hal 137-142, 2017, Penulis ke-2 dari 2</t>
  </si>
  <si>
    <t>Dipublikasikan pada Jurnal Nasional Terakreditasi RISTEKDIKTI S4: Jurnal Telekomunikasi, Elektronika, Komputasi dan Kontrol (TELKA) p-ISSN 2502-1982; e-ISSN 2540-9123, Vol 4, No 2, hal 85-90 2018, Penulis ke-3 dari 4</t>
  </si>
  <si>
    <t>Dipublikasikan pada Proceeding Internasional Terakreditasi Scopus: IEEE Xplore e-ISBN 978-1-5090-0744-8; p-ISBN 978-1-5090-0745-5, hal 162-168, 2016 International Conference on Control, Electronics, Renewable Energy and Communications (ICCEREC), 13-15 Sept. 2016, Bandung-Indonesia, Penulis ke-2 dari 5</t>
  </si>
  <si>
    <t>Dipublikasikan pada Proceeding Internasional Terakreditasi Scopus: IEEE Xplore e-ISBN 978-1-5090-6280-5; p-ISBN 978-1-5090-6278-2, hal 24-29, 2017 International Conference on Smart Cities, Automation &amp; Intelligent Computing Systems (ICON-SONICS), 25 January 2018, Yogyakarta-Indonesia, Penulis ke-2 dari 4</t>
  </si>
  <si>
    <t>Dipublikasikan pada Proceeding Internasional Tidak terakreditasi ISSN 2598-5965, hal 5-92017 Proceedings of International Conference on Satellite Technology (ICST), 3 Nov. 2017, Bandung-Indonesia, Penulis ke-1 dari 3</t>
  </si>
  <si>
    <t>Dipublikasikan pada Proceeding Internasional Terakreditasi Scopus: IEEE Xplore e-ISBN 978-1-5386-4572-7; p-ISBN 978-1-5386-4573-4, hal 189-193, 2018 6th International Conference on Information and Communication Technology (ICoICT), 12 November 2018, Institut Teknologi Bandung-Indonesia, Penulis ke-2 dari 4</t>
  </si>
  <si>
    <t xml:space="preserve">http://siregar.staff.telkomuniversity.ac.id/files/2019/01/7-ICST-2017.pdf </t>
  </si>
  <si>
    <t>http://siregar.staff.telkomuniversity.ac.id/files/2019/01/1-Jurnal-TeknologiLP-AUTOMATION-SYSTEM-HYDROPONIC-USING-SMART-SOLAR-POWER-PLANT-UNIT.pdf</t>
  </si>
  <si>
    <t>http://siregar.staff.telkomuniversity.ac.id/files/2019/01/2-IJECE-2018LP-FIToplankton-Wireless-Controlled-Remotely-Operated-Underwater-Vehicle-ROV-for-Shallow-Water-Exploration.pdf</t>
  </si>
  <si>
    <t>http://siregar.staff.telkomuniversity.ac.id/files/2019/01/3-TEKNOSI-2018LP-Implementasi-Komunikasi-Nirkabel-433-MHz-Menggunakan-APC220-Transceiver-pada-Robot-Musik-Angklung.pdf</t>
  </si>
  <si>
    <t>http://siregar.staff.telkomuniversity.ac.id/files/2019/01/4-TELKA-JEKKLP-2018-Pemilah-Benda-Berdasarkan-Warna-Menggunakan-Sensor-Warna-TCS3200.pdf</t>
  </si>
  <si>
    <t>http://siregar.staff.telkomuniversity.ac.id/files/2019/01/5-ICCEREC-IEEELP-2016-Web-Based-Monitoring-and-Control-System-for-Aeroponics-Growing-Chamber.pdf</t>
  </si>
  <si>
    <t>http://siregar.staff.telkomuniversity.ac.id/files/2019/01/6-ICON-SONICS-IEEELP-2017-Navigation-System-for-Smartphone-based-Autonomous-Underwater-Vehicle.pdf</t>
  </si>
  <si>
    <t>http://siregar.staff.telkomuniversity.ac.id/files/2019/01/7-ICSTLP-2017-A-prototype-of-a-quadrotor-system-for-forest-fire-monitoring.pdf</t>
  </si>
  <si>
    <t>http://siregar.staff.telkomuniversity.ac.id/files/2019/01/8-ICOICT-2018LP-2.4-GHz-Wireless-Data-Acquisition-System-for-FIToplankton-ROV.pdf</t>
  </si>
  <si>
    <t>http://siregar.staff.telkomuniversity.ac.id/files/2019/01/9-ProsidingISRSC2018LP-Implementasi-Pergerakan-Omnidirectional-pada-Three-Omniwheeled-Robot.pdf</t>
  </si>
  <si>
    <t>Diupload pada Blog: siregar.staff.telkomuniversity.ac.id
Domain telkomuniversity.ac.id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</si>
</sst>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 #,##0_-;_-* &quot;-&quot;_-;_-@_-"/>
    <numFmt numFmtId="164" formatCode="_(* #,##0_);_(* \(#,##0\);_(* &quot;-&quot;_);_(@_)"/>
    <numFmt numFmtId="165" formatCode="0.0%"/>
    <numFmt numFmtId="166" formatCode="0."/>
    <numFmt numFmtId="167" formatCode="_(* #,##0.000_);_(* \(#,##0.000\);_(* &quot;-&quot;???_);_(@_)"/>
    <numFmt numFmtId="168" formatCode="0_)"/>
    <numFmt numFmtId="169" formatCode="[$-409]d\-mmm\-yy;@"/>
  </numFmts>
  <fonts count="47" x14ac:knownFonts="1">
    <font>
      <sz val="11"/>
      <color theme="1"/>
      <name val="Calibri"/>
      <family val="2"/>
      <scheme val="minor"/>
    </font>
    <font>
      <b/>
      <sz val="11"/>
      <color theme="1"/>
      <name val="Calibri"/>
      <family val="2"/>
      <scheme val="minor"/>
    </font>
    <font>
      <b/>
      <sz val="12"/>
      <color theme="1"/>
      <name val="Calibri"/>
      <family val="2"/>
      <scheme val="minor"/>
    </font>
    <font>
      <sz val="8"/>
      <color theme="1"/>
      <name val="Calibri"/>
      <family val="2"/>
      <scheme val="minor"/>
    </font>
    <font>
      <sz val="10"/>
      <color theme="1"/>
      <name val="Calibri"/>
      <family val="2"/>
      <scheme val="minor"/>
    </font>
    <font>
      <b/>
      <sz val="10"/>
      <color theme="1"/>
      <name val="Calibri"/>
      <family val="2"/>
      <scheme val="minor"/>
    </font>
    <font>
      <sz val="9"/>
      <color theme="1"/>
      <name val="Calibri"/>
      <family val="2"/>
      <scheme val="minor"/>
    </font>
    <font>
      <sz val="10"/>
      <color theme="1" tint="0.34998626667073579"/>
      <name val="Calibri"/>
      <family val="2"/>
      <scheme val="minor"/>
    </font>
    <font>
      <sz val="11"/>
      <color theme="1" tint="0.34998626667073579"/>
      <name val="Calibri"/>
      <family val="2"/>
      <scheme val="minor"/>
    </font>
    <font>
      <sz val="10"/>
      <name val="Calibri"/>
      <family val="2"/>
      <scheme val="minor"/>
    </font>
    <font>
      <b/>
      <sz val="9"/>
      <color theme="1"/>
      <name val="Calibri"/>
      <family val="2"/>
      <scheme val="minor"/>
    </font>
    <font>
      <i/>
      <sz val="10"/>
      <color theme="1"/>
      <name val="Calibri"/>
      <family val="2"/>
      <scheme val="minor"/>
    </font>
    <font>
      <sz val="11"/>
      <color theme="1"/>
      <name val="Calibri"/>
      <family val="2"/>
      <scheme val="minor"/>
    </font>
    <font>
      <b/>
      <sz val="11"/>
      <name val="Calibri"/>
      <family val="2"/>
      <scheme val="minor"/>
    </font>
    <font>
      <sz val="11"/>
      <name val="Calibri"/>
      <family val="2"/>
      <scheme val="minor"/>
    </font>
    <font>
      <sz val="11"/>
      <color rgb="FFFF0000"/>
      <name val="Calibri"/>
      <family val="2"/>
      <scheme val="minor"/>
    </font>
    <font>
      <b/>
      <sz val="11"/>
      <color rgb="FFFF0000"/>
      <name val="Calibri"/>
      <family val="2"/>
      <scheme val="minor"/>
    </font>
    <font>
      <sz val="11"/>
      <color theme="1"/>
      <name val="Bookman Old Style"/>
      <family val="1"/>
    </font>
    <font>
      <sz val="11"/>
      <name val="Bookman Old Style"/>
      <family val="1"/>
    </font>
    <font>
      <sz val="11"/>
      <color rgb="FF000000"/>
      <name val="Bookman Old Style"/>
      <family val="1"/>
    </font>
    <font>
      <b/>
      <sz val="12"/>
      <name val="Bookman Old Style"/>
      <family val="1"/>
    </font>
    <font>
      <b/>
      <sz val="11"/>
      <color indexed="8"/>
      <name val="Bookman Old Style"/>
      <family val="1"/>
    </font>
    <font>
      <sz val="11"/>
      <color indexed="8"/>
      <name val="Bookman Old Style"/>
      <family val="1"/>
    </font>
    <font>
      <b/>
      <sz val="11"/>
      <name val="Bookman Old Style"/>
      <family val="1"/>
    </font>
    <font>
      <sz val="12"/>
      <color rgb="FF000000"/>
      <name val="Bookman Old Style"/>
      <family val="1"/>
    </font>
    <font>
      <sz val="11"/>
      <color indexed="10"/>
      <name val="Bookman Old Style"/>
      <family val="1"/>
    </font>
    <font>
      <b/>
      <sz val="11"/>
      <color theme="1"/>
      <name val="Bookman Old Style"/>
      <family val="1"/>
    </font>
    <font>
      <sz val="11"/>
      <color indexed="8"/>
      <name val="Calibri"/>
      <family val="2"/>
    </font>
    <font>
      <b/>
      <i/>
      <u/>
      <sz val="11"/>
      <color indexed="8"/>
      <name val="Bookman Old Style"/>
      <family val="1"/>
    </font>
    <font>
      <b/>
      <sz val="12"/>
      <name val="Calibri"/>
      <family val="2"/>
      <scheme val="minor"/>
    </font>
    <font>
      <b/>
      <sz val="9"/>
      <color indexed="81"/>
      <name val="Tahoma"/>
      <family val="2"/>
    </font>
    <font>
      <sz val="10"/>
      <color theme="0"/>
      <name val="Calibri"/>
      <family val="2"/>
      <scheme val="minor"/>
    </font>
    <font>
      <b/>
      <sz val="10"/>
      <name val="Calibri"/>
      <family val="2"/>
      <scheme val="minor"/>
    </font>
    <font>
      <u/>
      <sz val="11"/>
      <color theme="10"/>
      <name val="Calibri"/>
      <family val="2"/>
    </font>
    <font>
      <sz val="11"/>
      <color theme="1"/>
      <name val="Arial"/>
      <family val="2"/>
    </font>
    <font>
      <sz val="11"/>
      <name val="Arial"/>
      <family val="2"/>
    </font>
    <font>
      <b/>
      <sz val="11"/>
      <name val="Arial"/>
      <family val="2"/>
    </font>
    <font>
      <sz val="11"/>
      <color theme="1"/>
      <name val="Calibri"/>
      <family val="2"/>
      <charset val="1"/>
      <scheme val="minor"/>
    </font>
    <font>
      <sz val="11"/>
      <color rgb="FF000000"/>
      <name val="Arial"/>
      <family val="2"/>
    </font>
    <font>
      <sz val="11"/>
      <color indexed="8"/>
      <name val="Arial"/>
      <family val="2"/>
    </font>
    <font>
      <b/>
      <sz val="11"/>
      <color indexed="8"/>
      <name val="Arial"/>
      <family val="2"/>
    </font>
    <font>
      <sz val="12"/>
      <color rgb="FF000000"/>
      <name val="Arial"/>
      <family val="2"/>
    </font>
    <font>
      <sz val="11"/>
      <color indexed="10"/>
      <name val="Arial"/>
      <family val="2"/>
    </font>
    <font>
      <b/>
      <sz val="11"/>
      <color theme="1"/>
      <name val="Arial"/>
      <family val="2"/>
    </font>
    <font>
      <b/>
      <i/>
      <u/>
      <sz val="11"/>
      <color indexed="8"/>
      <name val="Arial"/>
      <family val="2"/>
    </font>
    <font>
      <sz val="11"/>
      <color theme="1"/>
      <name val="Calibri"/>
      <family val="2"/>
    </font>
    <font>
      <b/>
      <sz val="12"/>
      <color theme="0"/>
      <name val="Calibri"/>
      <family val="2"/>
      <scheme val="minor"/>
    </font>
  </fonts>
  <fills count="15">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FF0000"/>
        <bgColor indexed="64"/>
      </patternFill>
    </fill>
    <fill>
      <patternFill patternType="solid">
        <fgColor theme="6" tint="0.59999389629810485"/>
        <bgColor indexed="64"/>
      </patternFill>
    </fill>
    <fill>
      <patternFill patternType="solid">
        <fgColor indexed="9"/>
        <bgColor indexed="64"/>
      </patternFill>
    </fill>
    <fill>
      <patternFill patternType="solid">
        <fgColor theme="1" tint="4.9989318521683403E-2"/>
        <bgColor indexed="64"/>
      </patternFill>
    </fill>
    <fill>
      <patternFill patternType="solid">
        <fgColor theme="5" tint="0.79998168889431442"/>
        <bgColor indexed="64"/>
      </patternFill>
    </fill>
    <fill>
      <patternFill patternType="solid">
        <fgColor theme="6"/>
        <bgColor indexed="64"/>
      </patternFill>
    </fill>
    <fill>
      <patternFill patternType="solid">
        <fgColor theme="7" tint="0.39997558519241921"/>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8" tint="0.39997558519241921"/>
        <bgColor indexed="64"/>
      </patternFill>
    </fill>
    <fill>
      <patternFill patternType="solid">
        <fgColor theme="8" tint="0.59999389629810485"/>
        <bgColor indexed="64"/>
      </patternFill>
    </fill>
  </fills>
  <borders count="5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bottom style="thin">
        <color auto="1"/>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style="medium">
        <color indexed="64"/>
      </right>
      <top/>
      <bottom style="thin">
        <color auto="1"/>
      </bottom>
      <diagonal/>
    </border>
    <border>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indexed="64"/>
      </left>
      <right/>
      <top style="thin">
        <color auto="1"/>
      </top>
      <bottom style="thin">
        <color auto="1"/>
      </bottom>
      <diagonal/>
    </border>
    <border>
      <left style="medium">
        <color indexed="64"/>
      </left>
      <right/>
      <top/>
      <bottom/>
      <diagonal/>
    </border>
    <border>
      <left style="medium">
        <color indexed="64"/>
      </left>
      <right/>
      <top/>
      <bottom style="thin">
        <color auto="1"/>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8"/>
      </right>
      <top style="thin">
        <color indexed="64"/>
      </top>
      <bottom style="thin">
        <color indexed="64"/>
      </bottom>
      <diagonal/>
    </border>
    <border>
      <left style="thin">
        <color indexed="8"/>
      </left>
      <right/>
      <top style="thin">
        <color indexed="64"/>
      </top>
      <bottom style="thin">
        <color indexed="64"/>
      </bottom>
      <diagonal/>
    </border>
    <border>
      <left style="thin">
        <color indexed="64"/>
      </left>
      <right style="thin">
        <color indexed="8"/>
      </right>
      <top/>
      <bottom/>
      <diagonal/>
    </border>
    <border>
      <left style="thin">
        <color indexed="8"/>
      </left>
      <right/>
      <top/>
      <bottom/>
      <diagonal/>
    </border>
    <border>
      <left style="thin">
        <color indexed="64"/>
      </left>
      <right/>
      <top/>
      <bottom/>
      <diagonal/>
    </border>
    <border>
      <left style="thin">
        <color indexed="64"/>
      </left>
      <right style="thin">
        <color indexed="8"/>
      </right>
      <top/>
      <bottom style="thin">
        <color indexed="64"/>
      </bottom>
      <diagonal/>
    </border>
    <border>
      <left style="thin">
        <color indexed="8"/>
      </left>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auto="1"/>
      </top>
      <bottom/>
      <diagonal/>
    </border>
    <border>
      <left style="thin">
        <color indexed="64"/>
      </left>
      <right style="thin">
        <color indexed="64"/>
      </right>
      <top style="thin">
        <color indexed="64"/>
      </top>
      <bottom style="thin">
        <color indexed="64"/>
      </bottom>
      <diagonal/>
    </border>
    <border>
      <left style="medium">
        <color indexed="64"/>
      </left>
      <right style="thin">
        <color auto="1"/>
      </right>
      <top/>
      <bottom style="medium">
        <color indexed="64"/>
      </bottom>
      <diagonal/>
    </border>
    <border>
      <left/>
      <right style="thin">
        <color auto="1"/>
      </right>
      <top/>
      <bottom style="medium">
        <color indexed="64"/>
      </bottom>
      <diagonal/>
    </border>
    <border>
      <left style="thin">
        <color auto="1"/>
      </left>
      <right style="medium">
        <color indexed="64"/>
      </right>
      <top/>
      <bottom style="medium">
        <color indexed="64"/>
      </bottom>
      <diagonal/>
    </border>
    <border>
      <left/>
      <right style="thin">
        <color auto="1"/>
      </right>
      <top style="medium">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auto="1"/>
      </top>
      <bottom style="thin">
        <color auto="1"/>
      </bottom>
      <diagonal/>
    </border>
  </borders>
  <cellStyleXfs count="8">
    <xf numFmtId="0" fontId="0" fillId="0" borderId="0"/>
    <xf numFmtId="9" fontId="12" fillId="0" borderId="0" applyFont="0" applyFill="0" applyBorder="0" applyAlignment="0" applyProtection="0"/>
    <xf numFmtId="0" fontId="12" fillId="0" borderId="0"/>
    <xf numFmtId="164" fontId="27" fillId="0" borderId="0" applyFont="0" applyFill="0" applyBorder="0" applyAlignment="0" applyProtection="0"/>
    <xf numFmtId="0" fontId="33" fillId="0" borderId="0" applyNumberFormat="0" applyFill="0" applyBorder="0" applyAlignment="0" applyProtection="0">
      <alignment vertical="top"/>
      <protection locked="0"/>
    </xf>
    <xf numFmtId="0" fontId="37" fillId="0" borderId="0"/>
    <xf numFmtId="0" fontId="12" fillId="0" borderId="0"/>
    <xf numFmtId="41" fontId="27" fillId="0" borderId="0" applyFont="0" applyFill="0" applyBorder="0" applyAlignment="0" applyProtection="0"/>
  </cellStyleXfs>
  <cellXfs count="1253">
    <xf numFmtId="0" fontId="0" fillId="0" borderId="0" xfId="0"/>
    <xf numFmtId="0" fontId="0" fillId="0" borderId="0" xfId="0" applyAlignment="1">
      <alignment horizontal="center"/>
    </xf>
    <xf numFmtId="0" fontId="0" fillId="0" borderId="0" xfId="0" applyAlignment="1">
      <alignment wrapText="1"/>
    </xf>
    <xf numFmtId="0" fontId="0" fillId="0" borderId="0" xfId="0" applyBorder="1"/>
    <xf numFmtId="0" fontId="0" fillId="0" borderId="1" xfId="0" applyBorder="1" applyAlignment="1">
      <alignment horizontal="center" vertical="top"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wrapText="1"/>
    </xf>
    <xf numFmtId="0" fontId="0" fillId="0" borderId="0" xfId="0" applyBorder="1" applyAlignment="1">
      <alignment wrapText="1"/>
    </xf>
    <xf numFmtId="0" fontId="1" fillId="0" borderId="1" xfId="0" applyFont="1" applyBorder="1" applyAlignment="1">
      <alignment horizontal="center" vertical="center" wrapText="1"/>
    </xf>
    <xf numFmtId="0" fontId="0" fillId="0" borderId="10" xfId="0" applyBorder="1" applyAlignment="1">
      <alignment horizontal="left" vertical="center" wrapText="1"/>
    </xf>
    <xf numFmtId="0" fontId="0" fillId="0" borderId="0" xfId="0" applyFill="1" applyBorder="1" applyAlignment="1">
      <alignment horizontal="center" wrapText="1"/>
    </xf>
    <xf numFmtId="0" fontId="0" fillId="0" borderId="0" xfId="0" applyFill="1" applyBorder="1" applyAlignment="1">
      <alignment horizontal="center" wrapText="1"/>
    </xf>
    <xf numFmtId="14" fontId="0" fillId="0" borderId="0" xfId="0" applyNumberFormat="1" applyAlignment="1">
      <alignment horizontal="center"/>
    </xf>
    <xf numFmtId="0" fontId="0" fillId="0" borderId="0" xfId="0" applyAlignment="1">
      <alignment horizontal="left"/>
    </xf>
    <xf numFmtId="0" fontId="1" fillId="0" borderId="1" xfId="0" applyFont="1" applyBorder="1" applyAlignment="1">
      <alignment horizontal="center" vertical="center" wrapText="1"/>
    </xf>
    <xf numFmtId="0" fontId="0" fillId="2" borderId="0" xfId="0" applyFill="1"/>
    <xf numFmtId="0" fontId="0" fillId="3" borderId="0" xfId="0" applyFill="1"/>
    <xf numFmtId="0" fontId="0" fillId="4" borderId="0" xfId="0" applyFill="1" applyAlignment="1">
      <alignment wrapText="1"/>
    </xf>
    <xf numFmtId="0" fontId="0" fillId="0" borderId="0" xfId="0" applyAlignment="1"/>
    <xf numFmtId="0" fontId="1" fillId="0" borderId="15" xfId="0" applyFont="1" applyBorder="1" applyAlignment="1">
      <alignment vertical="center" wrapText="1"/>
    </xf>
    <xf numFmtId="0" fontId="1" fillId="0" borderId="6" xfId="0" applyFont="1" applyBorder="1" applyAlignment="1">
      <alignment vertical="center" wrapText="1"/>
    </xf>
    <xf numFmtId="0" fontId="1" fillId="0" borderId="5" xfId="0" applyFont="1" applyBorder="1" applyAlignment="1">
      <alignment horizontal="left" vertical="center"/>
    </xf>
    <xf numFmtId="0" fontId="1" fillId="0" borderId="5" xfId="0" applyFont="1" applyBorder="1" applyAlignment="1">
      <alignment vertical="center"/>
    </xf>
    <xf numFmtId="0" fontId="1" fillId="0" borderId="15" xfId="0" applyFont="1" applyBorder="1" applyAlignment="1">
      <alignment vertical="center"/>
    </xf>
    <xf numFmtId="0" fontId="1" fillId="0" borderId="6" xfId="0" applyFont="1" applyBorder="1" applyAlignment="1">
      <alignment vertical="center"/>
    </xf>
    <xf numFmtId="0" fontId="0" fillId="0" borderId="0" xfId="0" applyAlignment="1">
      <alignment horizontal="center" vertical="center"/>
    </xf>
    <xf numFmtId="0" fontId="4" fillId="3" borderId="0" xfId="0" applyFont="1" applyFill="1" applyAlignment="1">
      <alignment horizontal="center" vertical="center" wrapText="1"/>
    </xf>
    <xf numFmtId="0" fontId="4" fillId="4" borderId="0" xfId="0" applyFont="1" applyFill="1" applyAlignment="1">
      <alignment horizontal="center" vertical="center" wrapText="1"/>
    </xf>
    <xf numFmtId="0" fontId="4" fillId="0" borderId="1" xfId="0" applyFont="1" applyFill="1" applyBorder="1" applyAlignment="1">
      <alignment horizontal="center" vertical="center" wrapText="1"/>
    </xf>
    <xf numFmtId="0" fontId="4" fillId="0" borderId="5" xfId="0" applyFont="1" applyBorder="1" applyAlignment="1">
      <alignment vertical="center"/>
    </xf>
    <xf numFmtId="0" fontId="4" fillId="0" borderId="15" xfId="0" applyFont="1" applyBorder="1" applyAlignment="1">
      <alignment vertical="center"/>
    </xf>
    <xf numFmtId="0" fontId="5" fillId="0" borderId="15" xfId="0" applyFont="1" applyBorder="1" applyAlignment="1">
      <alignment vertical="center"/>
    </xf>
    <xf numFmtId="0" fontId="5" fillId="0" borderId="6" xfId="0" applyFont="1" applyBorder="1" applyAlignment="1">
      <alignment vertical="center"/>
    </xf>
    <xf numFmtId="0" fontId="4" fillId="0" borderId="0" xfId="0" applyFont="1" applyAlignment="1">
      <alignment wrapText="1"/>
    </xf>
    <xf numFmtId="0" fontId="4" fillId="2" borderId="0" xfId="0" applyFont="1" applyFill="1" applyAlignment="1">
      <alignment horizontal="center" vertical="center" wrapText="1"/>
    </xf>
    <xf numFmtId="0" fontId="4" fillId="0" borderId="0" xfId="0" applyFont="1"/>
    <xf numFmtId="0" fontId="4" fillId="3" borderId="0" xfId="0" applyFont="1" applyFill="1" applyAlignment="1">
      <alignment wrapText="1"/>
    </xf>
    <xf numFmtId="0" fontId="4" fillId="4" borderId="0" xfId="0" applyFont="1" applyFill="1" applyAlignment="1">
      <alignment horizontal="center" vertical="center"/>
    </xf>
    <xf numFmtId="0" fontId="4" fillId="3" borderId="0" xfId="0" applyFont="1" applyFill="1" applyAlignment="1">
      <alignment horizontal="left" wrapText="1"/>
    </xf>
    <xf numFmtId="0" fontId="5" fillId="0" borderId="1" xfId="0" applyFont="1" applyFill="1" applyBorder="1" applyAlignment="1">
      <alignment horizontal="center" vertical="center" wrapText="1"/>
    </xf>
    <xf numFmtId="0" fontId="4" fillId="0" borderId="0" xfId="0" applyFont="1" applyFill="1" applyAlignment="1">
      <alignment horizontal="left" wrapText="1"/>
    </xf>
    <xf numFmtId="0" fontId="0" fillId="0" borderId="0" xfId="0" applyFill="1"/>
    <xf numFmtId="0" fontId="0" fillId="0" borderId="1" xfId="0" applyBorder="1" applyAlignment="1">
      <alignment wrapText="1"/>
    </xf>
    <xf numFmtId="0" fontId="1" fillId="0" borderId="1" xfId="0" applyFont="1" applyBorder="1" applyAlignment="1">
      <alignment horizontal="center" vertical="center"/>
    </xf>
    <xf numFmtId="0" fontId="0" fillId="0" borderId="0" xfId="0" applyAlignment="1">
      <alignment horizontal="center"/>
    </xf>
    <xf numFmtId="0" fontId="0" fillId="0" borderId="0" xfId="0" applyAlignment="1">
      <alignment horizontal="left"/>
    </xf>
    <xf numFmtId="0" fontId="0" fillId="0" borderId="0" xfId="0" applyAlignment="1">
      <alignment horizontal="right"/>
    </xf>
    <xf numFmtId="0" fontId="0" fillId="0" borderId="0" xfId="0" applyBorder="1" applyAlignment="1">
      <alignment horizontal="center" wrapText="1"/>
    </xf>
    <xf numFmtId="49" fontId="0" fillId="0" borderId="0" xfId="0" applyNumberFormat="1" applyAlignment="1">
      <alignment horizontal="center" wrapText="1"/>
    </xf>
    <xf numFmtId="0" fontId="1" fillId="0" borderId="1" xfId="0" applyFont="1" applyBorder="1" applyAlignment="1">
      <alignment horizontal="center" vertical="center" wrapText="1"/>
    </xf>
    <xf numFmtId="0" fontId="2" fillId="0" borderId="0" xfId="0" applyFont="1" applyBorder="1" applyAlignment="1">
      <alignment horizontal="center" vertical="center" wrapText="1"/>
    </xf>
    <xf numFmtId="0" fontId="1" fillId="0" borderId="7" xfId="0" applyFont="1" applyBorder="1" applyAlignment="1">
      <alignment horizontal="center" vertical="center" wrapText="1"/>
    </xf>
    <xf numFmtId="0" fontId="1" fillId="0" borderId="0" xfId="0" applyFont="1" applyBorder="1" applyAlignment="1">
      <alignment horizontal="center" vertical="center" wrapText="1"/>
    </xf>
    <xf numFmtId="0" fontId="4" fillId="0" borderId="15" xfId="0" applyFont="1" applyBorder="1" applyAlignment="1">
      <alignment vertical="center" wrapText="1"/>
    </xf>
    <xf numFmtId="0" fontId="4" fillId="0" borderId="6" xfId="0" applyFont="1" applyBorder="1" applyAlignment="1">
      <alignment vertical="center"/>
    </xf>
    <xf numFmtId="0" fontId="4" fillId="0" borderId="5" xfId="0" applyFont="1" applyBorder="1" applyAlignment="1">
      <alignment vertical="center" wrapText="1"/>
    </xf>
    <xf numFmtId="0" fontId="5" fillId="0" borderId="1" xfId="0" applyFont="1" applyBorder="1" applyAlignment="1">
      <alignment horizontal="center" vertical="center"/>
    </xf>
    <xf numFmtId="0" fontId="4" fillId="0" borderId="15" xfId="0" applyFont="1" applyBorder="1" applyAlignment="1">
      <alignment horizontal="left" vertical="center"/>
    </xf>
    <xf numFmtId="0" fontId="4" fillId="0" borderId="6" xfId="0" applyFont="1" applyBorder="1" applyAlignment="1">
      <alignment horizontal="left" vertical="center"/>
    </xf>
    <xf numFmtId="0" fontId="4" fillId="0" borderId="0" xfId="0" applyFont="1" applyAlignment="1">
      <alignment horizontal="center" wrapText="1"/>
    </xf>
    <xf numFmtId="0" fontId="4" fillId="0" borderId="0" xfId="0" applyFont="1" applyBorder="1" applyAlignment="1">
      <alignment horizontal="left" vertical="center" wrapText="1"/>
    </xf>
    <xf numFmtId="0" fontId="1" fillId="0" borderId="1" xfId="0" applyFont="1" applyFill="1" applyBorder="1" applyAlignment="1">
      <alignment horizontal="center" wrapText="1"/>
    </xf>
    <xf numFmtId="0" fontId="1" fillId="0" borderId="1" xfId="0" applyFont="1" applyFill="1" applyBorder="1" applyAlignment="1">
      <alignment horizontal="center" vertical="center" wrapText="1"/>
    </xf>
    <xf numFmtId="0" fontId="4" fillId="0" borderId="15" xfId="0" applyFont="1" applyFill="1" applyBorder="1" applyAlignment="1">
      <alignment vertical="center" wrapText="1"/>
    </xf>
    <xf numFmtId="0" fontId="4" fillId="0" borderId="6" xfId="0" applyFont="1" applyFill="1" applyBorder="1" applyAlignment="1">
      <alignment vertical="center" wrapText="1"/>
    </xf>
    <xf numFmtId="0" fontId="0" fillId="0" borderId="15" xfId="0" applyFont="1" applyBorder="1" applyAlignment="1">
      <alignment horizontal="left" vertical="center"/>
    </xf>
    <xf numFmtId="0" fontId="0" fillId="0" borderId="6" xfId="0" applyFont="1" applyBorder="1" applyAlignment="1">
      <alignment horizontal="left" vertical="center"/>
    </xf>
    <xf numFmtId="0" fontId="4" fillId="0" borderId="1" xfId="0" applyFont="1" applyBorder="1" applyAlignment="1">
      <alignment horizontal="right" vertical="center" wrapText="1"/>
    </xf>
    <xf numFmtId="0" fontId="5" fillId="0" borderId="1" xfId="0" applyFont="1" applyBorder="1" applyAlignment="1">
      <alignment horizontal="right" vertical="center" wrapText="1"/>
    </xf>
    <xf numFmtId="0" fontId="4" fillId="0" borderId="1" xfId="0" applyFont="1" applyFill="1" applyBorder="1" applyAlignment="1">
      <alignment horizontal="right" vertical="center" wrapText="1"/>
    </xf>
    <xf numFmtId="0" fontId="0" fillId="0" borderId="1" xfId="0" applyFont="1" applyBorder="1" applyAlignment="1">
      <alignment horizontal="right" vertical="center" wrapText="1"/>
    </xf>
    <xf numFmtId="0" fontId="1" fillId="0" borderId="5" xfId="0" applyFont="1" applyBorder="1" applyAlignment="1">
      <alignment horizontal="left"/>
    </xf>
    <xf numFmtId="0" fontId="1" fillId="0" borderId="15" xfId="0" applyFont="1" applyBorder="1" applyAlignment="1">
      <alignment horizontal="left"/>
    </xf>
    <xf numFmtId="0" fontId="1" fillId="0" borderId="6" xfId="0" applyFont="1" applyBorder="1" applyAlignment="1">
      <alignment horizontal="left"/>
    </xf>
    <xf numFmtId="0" fontId="0" fillId="0" borderId="0" xfId="0" applyBorder="1" applyAlignment="1">
      <alignment horizontal="left"/>
    </xf>
    <xf numFmtId="0" fontId="1" fillId="0" borderId="0" xfId="0" applyFont="1" applyBorder="1" applyAlignment="1">
      <alignment horizontal="left"/>
    </xf>
    <xf numFmtId="0" fontId="4" fillId="0" borderId="0" xfId="0" applyFont="1" applyBorder="1" applyAlignment="1">
      <alignment horizontal="left" vertical="center"/>
    </xf>
    <xf numFmtId="0" fontId="4" fillId="0" borderId="1" xfId="0" applyFont="1" applyBorder="1" applyAlignment="1">
      <alignment horizontal="center" vertical="center"/>
    </xf>
    <xf numFmtId="0" fontId="0" fillId="0" borderId="0" xfId="0" applyBorder="1" applyAlignment="1">
      <alignment horizontal="center" vertical="center" wrapText="1"/>
    </xf>
    <xf numFmtId="0" fontId="4" fillId="0" borderId="4" xfId="0" applyFont="1" applyBorder="1" applyAlignment="1">
      <alignment horizontal="center" vertical="center" wrapText="1"/>
    </xf>
    <xf numFmtId="0" fontId="7" fillId="0" borderId="0" xfId="0" applyFont="1" applyBorder="1" applyAlignment="1">
      <alignment horizontal="center" vertical="center"/>
    </xf>
    <xf numFmtId="0" fontId="8" fillId="0" borderId="0" xfId="0" applyFont="1" applyBorder="1" applyAlignment="1">
      <alignment horizontal="center" wrapText="1"/>
    </xf>
    <xf numFmtId="0" fontId="7" fillId="0" borderId="0" xfId="0" applyFont="1" applyBorder="1" applyAlignment="1">
      <alignment horizontal="center" wrapText="1"/>
    </xf>
    <xf numFmtId="0" fontId="5" fillId="0" borderId="15" xfId="0" applyFont="1" applyBorder="1" applyAlignment="1">
      <alignment horizontal="left" vertical="center"/>
    </xf>
    <xf numFmtId="0" fontId="5" fillId="0" borderId="6" xfId="0" applyFont="1" applyBorder="1" applyAlignment="1">
      <alignment horizontal="left" vertical="center"/>
    </xf>
    <xf numFmtId="0" fontId="1" fillId="0" borderId="1" xfId="0" applyFont="1" applyBorder="1" applyAlignment="1">
      <alignment horizontal="right" vertical="center" wrapText="1"/>
    </xf>
    <xf numFmtId="0" fontId="1" fillId="0" borderId="1" xfId="0" applyFont="1" applyBorder="1" applyAlignment="1">
      <alignment horizontal="right" vertical="top" wrapText="1"/>
    </xf>
    <xf numFmtId="0" fontId="7" fillId="0" borderId="0" xfId="0" applyFont="1" applyAlignment="1">
      <alignment horizontal="center" vertical="center" wrapText="1"/>
    </xf>
    <xf numFmtId="0" fontId="4" fillId="0" borderId="0" xfId="0" applyFont="1" applyAlignment="1">
      <alignment horizontal="center" vertical="center"/>
    </xf>
    <xf numFmtId="0" fontId="4" fillId="0" borderId="0" xfId="0" applyFont="1" applyFill="1"/>
    <xf numFmtId="0" fontId="5" fillId="0" borderId="0" xfId="0" applyFont="1" applyFill="1" applyBorder="1" applyAlignment="1">
      <alignment wrapText="1"/>
    </xf>
    <xf numFmtId="0" fontId="1" fillId="0" borderId="5" xfId="0" applyFont="1" applyFill="1" applyBorder="1" applyAlignment="1">
      <alignment horizontal="left" vertical="center"/>
    </xf>
    <xf numFmtId="0" fontId="4" fillId="0" borderId="15" xfId="0" applyFont="1" applyFill="1" applyBorder="1" applyAlignment="1">
      <alignment horizontal="left" vertical="center"/>
    </xf>
    <xf numFmtId="0" fontId="4" fillId="0" borderId="6" xfId="0" applyFont="1" applyFill="1" applyBorder="1" applyAlignment="1">
      <alignment horizontal="left" vertical="center"/>
    </xf>
    <xf numFmtId="0" fontId="4" fillId="0" borderId="6" xfId="0" applyFont="1" applyFill="1" applyBorder="1" applyAlignment="1">
      <alignment vertical="center"/>
    </xf>
    <xf numFmtId="0" fontId="4" fillId="3" borderId="0" xfId="0" applyFont="1" applyFill="1"/>
    <xf numFmtId="0" fontId="5" fillId="0" borderId="5" xfId="0" applyFont="1" applyBorder="1" applyAlignment="1">
      <alignment horizontal="left"/>
    </xf>
    <xf numFmtId="0" fontId="1" fillId="0" borderId="15" xfId="0" applyFont="1" applyBorder="1" applyAlignment="1">
      <alignment horizontal="left" vertical="center"/>
    </xf>
    <xf numFmtId="0" fontId="1" fillId="0" borderId="6" xfId="0" applyFont="1" applyBorder="1" applyAlignment="1">
      <alignment horizontal="left" vertical="center"/>
    </xf>
    <xf numFmtId="0" fontId="4" fillId="3" borderId="0" xfId="0" applyFont="1" applyFill="1" applyAlignment="1">
      <alignment horizontal="left" vertical="center" wrapText="1"/>
    </xf>
    <xf numFmtId="0" fontId="5" fillId="0" borderId="1" xfId="0" applyNumberFormat="1" applyFont="1" applyBorder="1" applyAlignment="1">
      <alignment horizontal="right" vertical="center" wrapText="1"/>
    </xf>
    <xf numFmtId="0" fontId="5" fillId="0" borderId="7" xfId="0" applyFont="1" applyBorder="1" applyAlignment="1">
      <alignment horizontal="right" vertical="center" wrapText="1"/>
    </xf>
    <xf numFmtId="0" fontId="1" fillId="0" borderId="7" xfId="0" applyFont="1" applyBorder="1" applyAlignment="1">
      <alignment horizontal="center" vertical="center"/>
    </xf>
    <xf numFmtId="0" fontId="1" fillId="0" borderId="7" xfId="0" applyFont="1" applyBorder="1" applyAlignment="1">
      <alignment horizontal="left" vertical="center"/>
    </xf>
    <xf numFmtId="0" fontId="0" fillId="0" borderId="0" xfId="0" applyAlignment="1">
      <alignment horizontal="center" wrapText="1"/>
    </xf>
    <xf numFmtId="0" fontId="4" fillId="0" borderId="2" xfId="0" applyFont="1" applyBorder="1" applyAlignment="1">
      <alignment horizontal="center" vertical="center" wrapText="1"/>
    </xf>
    <xf numFmtId="0" fontId="0" fillId="0" borderId="0" xfId="0" applyFont="1" applyAlignment="1">
      <alignment horizontal="center"/>
    </xf>
    <xf numFmtId="0" fontId="0" fillId="0" borderId="0" xfId="0" applyFont="1" applyFill="1" applyAlignment="1">
      <alignment horizontal="center" vertical="center"/>
    </xf>
    <xf numFmtId="0" fontId="4" fillId="0" borderId="1" xfId="0" applyNumberFormat="1" applyFont="1" applyBorder="1" applyAlignment="1">
      <alignment horizontal="right" vertical="center" wrapText="1"/>
    </xf>
    <xf numFmtId="0" fontId="4" fillId="0" borderId="0" xfId="0" applyFont="1" applyFill="1" applyAlignment="1">
      <alignment horizontal="center" vertical="center" wrapText="1"/>
    </xf>
    <xf numFmtId="0" fontId="0" fillId="0" borderId="0" xfId="0" applyFill="1" applyAlignment="1">
      <alignment wrapText="1"/>
    </xf>
    <xf numFmtId="0" fontId="9" fillId="0" borderId="15" xfId="0" applyFont="1" applyFill="1" applyBorder="1" applyAlignment="1">
      <alignment vertical="center" wrapText="1"/>
    </xf>
    <xf numFmtId="0" fontId="9" fillId="0" borderId="6" xfId="0" applyFont="1" applyFill="1" applyBorder="1" applyAlignment="1">
      <alignment vertical="center" wrapText="1"/>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4" borderId="0" xfId="0" applyFont="1" applyFill="1"/>
    <xf numFmtId="0" fontId="4" fillId="0" borderId="15" xfId="0" applyFont="1" applyFill="1" applyBorder="1" applyAlignment="1">
      <alignment horizontal="center" vertical="center"/>
    </xf>
    <xf numFmtId="0" fontId="4" fillId="0" borderId="6" xfId="0" applyFont="1" applyBorder="1" applyAlignment="1">
      <alignment horizontal="left" vertical="center"/>
    </xf>
    <xf numFmtId="0" fontId="1" fillId="0" borderId="1" xfId="0" applyFont="1" applyBorder="1" applyAlignment="1">
      <alignment horizontal="center" vertical="center"/>
    </xf>
    <xf numFmtId="0" fontId="4" fillId="3" borderId="10" xfId="0" applyFont="1" applyFill="1" applyBorder="1" applyAlignment="1">
      <alignment horizontal="center" vertical="center" wrapText="1"/>
    </xf>
    <xf numFmtId="0" fontId="4" fillId="0" borderId="2" xfId="0" applyFont="1" applyBorder="1" applyAlignment="1">
      <alignment horizontal="center" vertical="center"/>
    </xf>
    <xf numFmtId="0" fontId="1" fillId="0" borderId="1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 xfId="0" applyFont="1" applyBorder="1" applyAlignment="1">
      <alignment horizontal="center" vertical="center" wrapText="1"/>
    </xf>
    <xf numFmtId="0" fontId="4" fillId="0" borderId="6" xfId="0" applyFont="1" applyBorder="1" applyAlignment="1">
      <alignment horizontal="left" vertical="center"/>
    </xf>
    <xf numFmtId="0" fontId="1" fillId="0" borderId="0" xfId="0" applyFont="1" applyBorder="1" applyAlignment="1">
      <alignment horizontal="center" vertical="center" wrapText="1"/>
    </xf>
    <xf numFmtId="0" fontId="1" fillId="0" borderId="6" xfId="0" applyFont="1" applyBorder="1" applyAlignment="1">
      <alignment horizontal="left" vertical="center"/>
    </xf>
    <xf numFmtId="0" fontId="2" fillId="0" borderId="5" xfId="0" applyFont="1" applyBorder="1" applyAlignment="1"/>
    <xf numFmtId="0" fontId="10" fillId="0" borderId="1" xfId="0" applyFont="1" applyBorder="1" applyAlignment="1">
      <alignment horizontal="center" vertical="center" wrapText="1"/>
    </xf>
    <xf numFmtId="0" fontId="4" fillId="0" borderId="1" xfId="0" applyFont="1" applyBorder="1" applyAlignment="1">
      <alignment horizontal="right" vertical="top"/>
    </xf>
    <xf numFmtId="0" fontId="1" fillId="0" borderId="1" xfId="0" applyFont="1" applyBorder="1" applyAlignment="1">
      <alignment horizontal="right" vertical="top"/>
    </xf>
    <xf numFmtId="0" fontId="4" fillId="3" borderId="10" xfId="0" applyFont="1" applyFill="1" applyBorder="1" applyAlignment="1">
      <alignment vertical="center" wrapText="1"/>
    </xf>
    <xf numFmtId="0" fontId="11" fillId="0" borderId="0" xfId="0" applyFont="1" applyFill="1"/>
    <xf numFmtId="0" fontId="0" fillId="0" borderId="1" xfId="0" applyFont="1" applyBorder="1" applyAlignment="1">
      <alignment horizontal="center" vertical="center" wrapText="1"/>
    </xf>
    <xf numFmtId="0" fontId="10" fillId="0" borderId="1" xfId="0" applyFont="1" applyBorder="1" applyAlignment="1">
      <alignment horizontal="center" vertical="distributed" wrapText="1"/>
    </xf>
    <xf numFmtId="0" fontId="0" fillId="0" borderId="1" xfId="0" applyBorder="1" applyAlignment="1">
      <alignment horizontal="center" vertical="center" wrapText="1"/>
    </xf>
    <xf numFmtId="0" fontId="1" fillId="0" borderId="15" xfId="0" applyNumberFormat="1" applyFont="1" applyBorder="1" applyAlignment="1">
      <alignment horizontal="center" vertical="center" wrapText="1"/>
    </xf>
    <xf numFmtId="0" fontId="9" fillId="0" borderId="0" xfId="0" applyFont="1" applyBorder="1"/>
    <xf numFmtId="0" fontId="14" fillId="0" borderId="0" xfId="0" applyFont="1" applyAlignment="1">
      <alignment horizontal="left"/>
    </xf>
    <xf numFmtId="0" fontId="13" fillId="0" borderId="0" xfId="0" applyFont="1" applyAlignment="1">
      <alignment horizontal="center"/>
    </xf>
    <xf numFmtId="0" fontId="14" fillId="0" borderId="0" xfId="0" applyFont="1"/>
    <xf numFmtId="0" fontId="13" fillId="0" borderId="5" xfId="0" applyFont="1" applyBorder="1"/>
    <xf numFmtId="0" fontId="14" fillId="0" borderId="1" xfId="0" applyFont="1" applyBorder="1" applyAlignment="1">
      <alignment horizontal="right"/>
    </xf>
    <xf numFmtId="0" fontId="13" fillId="0" borderId="5" xfId="0" applyFont="1" applyBorder="1" applyAlignment="1"/>
    <xf numFmtId="0" fontId="13" fillId="0" borderId="15" xfId="0" applyFont="1" applyBorder="1" applyAlignment="1"/>
    <xf numFmtId="0" fontId="13" fillId="0" borderId="6" xfId="0" applyFont="1" applyBorder="1" applyAlignment="1"/>
    <xf numFmtId="0" fontId="14" fillId="0" borderId="1" xfId="0" applyFont="1" applyBorder="1" applyAlignment="1">
      <alignment horizontal="right" vertical="top" wrapText="1"/>
    </xf>
    <xf numFmtId="0" fontId="14" fillId="0" borderId="1" xfId="0" applyFont="1" applyBorder="1" applyAlignment="1">
      <alignment horizontal="left" vertical="center" wrapText="1"/>
    </xf>
    <xf numFmtId="0" fontId="13" fillId="0" borderId="15" xfId="0" applyFont="1" applyBorder="1" applyAlignment="1">
      <alignment vertical="top" wrapText="1"/>
    </xf>
    <xf numFmtId="0" fontId="13" fillId="0" borderId="6" xfId="0" applyFont="1" applyBorder="1" applyAlignment="1">
      <alignment vertical="top" wrapText="1"/>
    </xf>
    <xf numFmtId="2" fontId="14" fillId="0" borderId="1" xfId="0" applyNumberFormat="1" applyFont="1" applyBorder="1" applyAlignment="1">
      <alignment horizontal="center" vertical="top"/>
    </xf>
    <xf numFmtId="0" fontId="14" fillId="0" borderId="0" xfId="0" applyFont="1" applyAlignment="1">
      <alignment vertical="top"/>
    </xf>
    <xf numFmtId="2" fontId="13" fillId="0" borderId="1" xfId="0" applyNumberFormat="1" applyFont="1" applyBorder="1" applyAlignment="1">
      <alignment horizontal="center" vertical="top"/>
    </xf>
    <xf numFmtId="0" fontId="13" fillId="0" borderId="0" xfId="0" applyFont="1" applyAlignment="1">
      <alignment vertical="top"/>
    </xf>
    <xf numFmtId="2" fontId="14" fillId="0" borderId="1" xfId="0" applyNumberFormat="1" applyFont="1" applyBorder="1" applyAlignment="1">
      <alignment vertical="center"/>
    </xf>
    <xf numFmtId="0" fontId="14" fillId="0" borderId="0" xfId="0" applyFont="1" applyAlignment="1">
      <alignment vertical="center"/>
    </xf>
    <xf numFmtId="0" fontId="14" fillId="0" borderId="15" xfId="0" applyFont="1" applyBorder="1" applyAlignment="1">
      <alignment horizontal="left" vertical="center"/>
    </xf>
    <xf numFmtId="2" fontId="13" fillId="0" borderId="1" xfId="0" applyNumberFormat="1" applyFont="1" applyBorder="1" applyAlignment="1">
      <alignment vertical="center"/>
    </xf>
    <xf numFmtId="0" fontId="13" fillId="0" borderId="0" xfId="0" applyFont="1" applyAlignment="1">
      <alignment vertical="center"/>
    </xf>
    <xf numFmtId="0" fontId="4" fillId="0" borderId="2" xfId="0" applyFont="1" applyFill="1" applyBorder="1" applyAlignment="1">
      <alignment horizontal="center" vertical="center"/>
    </xf>
    <xf numFmtId="0" fontId="1" fillId="0" borderId="1" xfId="0" applyFont="1" applyBorder="1" applyAlignment="1">
      <alignment horizontal="left"/>
    </xf>
    <xf numFmtId="0" fontId="0" fillId="0" borderId="1" xfId="0" applyBorder="1" applyAlignment="1">
      <alignment horizontal="left" vertical="top" wrapText="1"/>
    </xf>
    <xf numFmtId="0" fontId="1" fillId="0" borderId="5" xfId="0" applyFont="1" applyBorder="1" applyAlignment="1">
      <alignment horizontal="left" vertical="top" wrapText="1"/>
    </xf>
    <xf numFmtId="0" fontId="9" fillId="0" borderId="5" xfId="0" applyFont="1" applyFill="1" applyBorder="1" applyAlignment="1">
      <alignment horizontal="left" vertical="center" wrapText="1"/>
    </xf>
    <xf numFmtId="0" fontId="1" fillId="0" borderId="5" xfId="0" applyFont="1" applyBorder="1" applyAlignment="1">
      <alignment horizontal="center" vertical="center" wrapText="1"/>
    </xf>
    <xf numFmtId="0" fontId="4" fillId="0" borderId="5" xfId="0" applyFont="1" applyBorder="1" applyAlignment="1">
      <alignment horizontal="left" vertical="center" wrapText="1"/>
    </xf>
    <xf numFmtId="0" fontId="0" fillId="0" borderId="1" xfId="0" applyBorder="1" applyAlignment="1">
      <alignment horizontal="left" wrapText="1"/>
    </xf>
    <xf numFmtId="0" fontId="10" fillId="0" borderId="1" xfId="0" applyFont="1" applyBorder="1" applyAlignment="1">
      <alignment horizontal="center" vertical="center" wrapText="1"/>
    </xf>
    <xf numFmtId="0" fontId="5" fillId="0" borderId="5" xfId="0" applyFont="1" applyBorder="1" applyAlignment="1">
      <alignment vertical="center"/>
    </xf>
    <xf numFmtId="0" fontId="4" fillId="0" borderId="5" xfId="0" applyFont="1" applyBorder="1" applyAlignment="1">
      <alignment horizontal="left" vertical="center"/>
    </xf>
    <xf numFmtId="0" fontId="9" fillId="0" borderId="5" xfId="0" applyFont="1" applyFill="1" applyBorder="1" applyAlignment="1">
      <alignment horizontal="left" vertical="center" wrapText="1"/>
    </xf>
    <xf numFmtId="0" fontId="9" fillId="0" borderId="1" xfId="0" applyFont="1" applyBorder="1" applyAlignment="1">
      <alignment horizontal="right" vertical="center" wrapText="1"/>
    </xf>
    <xf numFmtId="0" fontId="9" fillId="0" borderId="1" xfId="0" applyFont="1" applyFill="1" applyBorder="1" applyAlignment="1">
      <alignment horizontal="center" vertical="center" wrapText="1"/>
    </xf>
    <xf numFmtId="0" fontId="14" fillId="0" borderId="0" xfId="0" applyFont="1" applyAlignment="1">
      <alignment wrapText="1"/>
    </xf>
    <xf numFmtId="0" fontId="9" fillId="0" borderId="1" xfId="0" applyNumberFormat="1" applyFont="1" applyBorder="1" applyAlignment="1">
      <alignment horizontal="right" vertical="center" wrapText="1"/>
    </xf>
    <xf numFmtId="0" fontId="9" fillId="0" borderId="0" xfId="0" applyFont="1"/>
    <xf numFmtId="0" fontId="0" fillId="0" borderId="7" xfId="0" applyFont="1" applyBorder="1" applyAlignment="1">
      <alignment horizontal="left" vertical="center"/>
    </xf>
    <xf numFmtId="0" fontId="1" fillId="0" borderId="8" xfId="0" applyFont="1" applyBorder="1" applyAlignment="1">
      <alignment horizontal="left"/>
    </xf>
    <xf numFmtId="0" fontId="0" fillId="0" borderId="9" xfId="0" applyFont="1" applyBorder="1" applyAlignment="1">
      <alignment horizontal="left" vertical="center"/>
    </xf>
    <xf numFmtId="0" fontId="9" fillId="0" borderId="12" xfId="0" applyFont="1" applyFill="1" applyBorder="1" applyAlignment="1">
      <alignment horizontal="left" vertical="center" wrapText="1"/>
    </xf>
    <xf numFmtId="0" fontId="9" fillId="3" borderId="0" xfId="0" applyFont="1" applyFill="1" applyAlignment="1">
      <alignment horizontal="left" wrapText="1"/>
    </xf>
    <xf numFmtId="0" fontId="9" fillId="3" borderId="0" xfId="0" applyFont="1" applyFill="1" applyAlignment="1">
      <alignment horizontal="left" vertical="center" wrapText="1"/>
    </xf>
    <xf numFmtId="15" fontId="0" fillId="0" borderId="0" xfId="0" applyNumberFormat="1" applyBorder="1" applyAlignment="1">
      <alignment horizontal="left"/>
    </xf>
    <xf numFmtId="0" fontId="0" fillId="0" borderId="0" xfId="0" applyBorder="1" applyAlignment="1">
      <alignment horizontal="right"/>
    </xf>
    <xf numFmtId="0" fontId="9" fillId="0" borderId="5" xfId="0" applyFont="1" applyFill="1" applyBorder="1" applyAlignment="1">
      <alignment horizontal="left" vertical="center" wrapText="1"/>
    </xf>
    <xf numFmtId="0" fontId="4" fillId="0" borderId="6" xfId="0" applyFont="1" applyBorder="1" applyAlignment="1">
      <alignment horizontal="left" vertical="center"/>
    </xf>
    <xf numFmtId="0" fontId="9" fillId="0" borderId="5" xfId="0" applyFont="1" applyFill="1" applyBorder="1" applyAlignment="1">
      <alignment horizontal="left" vertical="center" wrapText="1"/>
    </xf>
    <xf numFmtId="0" fontId="4" fillId="0" borderId="6" xfId="0" applyFont="1" applyBorder="1" applyAlignment="1">
      <alignment horizontal="left" vertical="center" wrapText="1"/>
    </xf>
    <xf numFmtId="0" fontId="4" fillId="0" borderId="6" xfId="0" applyFont="1" applyBorder="1" applyAlignment="1">
      <alignment horizontal="left" vertical="center"/>
    </xf>
    <xf numFmtId="0" fontId="15" fillId="0" borderId="0" xfId="0" applyFont="1" applyAlignment="1">
      <alignment wrapText="1"/>
    </xf>
    <xf numFmtId="0" fontId="15" fillId="0" borderId="0" xfId="0" applyFont="1" applyBorder="1" applyAlignment="1">
      <alignment horizontal="center" vertical="center" wrapText="1"/>
    </xf>
    <xf numFmtId="0" fontId="14" fillId="0" borderId="15" xfId="0" applyFont="1" applyFill="1" applyBorder="1" applyAlignment="1">
      <alignment horizontal="left" vertical="center"/>
    </xf>
    <xf numFmtId="0" fontId="13" fillId="0" borderId="5" xfId="0" quotePrefix="1" applyFont="1" applyBorder="1" applyAlignment="1">
      <alignment horizontal="center"/>
    </xf>
    <xf numFmtId="0" fontId="13" fillId="0" borderId="5" xfId="0" applyFont="1" applyBorder="1" applyAlignment="1">
      <alignment horizontal="right" vertical="center"/>
    </xf>
    <xf numFmtId="0" fontId="0" fillId="0" borderId="1" xfId="0" applyBorder="1" applyAlignment="1">
      <alignment horizontal="left" vertical="top" wrapText="1"/>
    </xf>
    <xf numFmtId="0" fontId="1" fillId="0" borderId="5" xfId="0" applyFont="1" applyBorder="1" applyAlignment="1">
      <alignment horizontal="center" vertical="center" wrapText="1"/>
    </xf>
    <xf numFmtId="0" fontId="0" fillId="0" borderId="1" xfId="0" applyBorder="1" applyAlignment="1">
      <alignment horizontal="left" wrapText="1"/>
    </xf>
    <xf numFmtId="0" fontId="1" fillId="0" borderId="1" xfId="0" applyFont="1" applyBorder="1" applyAlignment="1">
      <alignment vertical="center" wrapText="1"/>
    </xf>
    <xf numFmtId="0" fontId="10" fillId="0" borderId="1" xfId="0" applyFont="1" applyBorder="1" applyAlignment="1">
      <alignment horizontal="center" vertical="center" wrapText="1"/>
    </xf>
    <xf numFmtId="0" fontId="9" fillId="0" borderId="5" xfId="0" applyFont="1" applyFill="1" applyBorder="1" applyAlignment="1">
      <alignment horizontal="left" vertical="center" wrapText="1"/>
    </xf>
    <xf numFmtId="0" fontId="14" fillId="0" borderId="15" xfId="0" applyFont="1" applyBorder="1" applyAlignment="1">
      <alignment vertical="center"/>
    </xf>
    <xf numFmtId="0" fontId="14" fillId="0" borderId="15" xfId="0" applyFont="1" applyFill="1" applyBorder="1" applyAlignment="1">
      <alignment vertical="center"/>
    </xf>
    <xf numFmtId="2" fontId="13" fillId="0" borderId="6" xfId="0" applyNumberFormat="1" applyFont="1" applyBorder="1" applyAlignment="1">
      <alignment horizontal="right" vertical="top"/>
    </xf>
    <xf numFmtId="2" fontId="14" fillId="0" borderId="16" xfId="0" quotePrefix="1" applyNumberFormat="1" applyFont="1" applyBorder="1" applyAlignment="1">
      <alignment horizontal="right" vertical="top"/>
    </xf>
    <xf numFmtId="2" fontId="14" fillId="0" borderId="17" xfId="0" quotePrefix="1" applyNumberFormat="1" applyFont="1" applyBorder="1" applyAlignment="1">
      <alignment horizontal="right" vertical="top"/>
    </xf>
    <xf numFmtId="2" fontId="13" fillId="0" borderId="16" xfId="0" quotePrefix="1" applyNumberFormat="1" applyFont="1" applyBorder="1" applyAlignment="1">
      <alignment horizontal="right" vertical="top"/>
    </xf>
    <xf numFmtId="2" fontId="13" fillId="0" borderId="17" xfId="0" quotePrefix="1" applyNumberFormat="1" applyFont="1" applyBorder="1" applyAlignment="1">
      <alignment horizontal="right" vertical="top"/>
    </xf>
    <xf numFmtId="2" fontId="14" fillId="0" borderId="16" xfId="0" applyNumberFormat="1" applyFont="1" applyBorder="1" applyAlignment="1">
      <alignment vertical="center"/>
    </xf>
    <xf numFmtId="9" fontId="14" fillId="0" borderId="17" xfId="1" applyFont="1" applyBorder="1" applyAlignment="1">
      <alignment horizontal="center" vertical="center"/>
    </xf>
    <xf numFmtId="2" fontId="13" fillId="0" borderId="16" xfId="0" applyNumberFormat="1" applyFont="1" applyBorder="1" applyAlignment="1">
      <alignment vertical="center"/>
    </xf>
    <xf numFmtId="9" fontId="13" fillId="0" borderId="17" xfId="1" applyFont="1" applyBorder="1" applyAlignment="1">
      <alignment vertical="center"/>
    </xf>
    <xf numFmtId="9" fontId="14" fillId="0" borderId="17" xfId="1" applyFont="1" applyBorder="1" applyAlignment="1">
      <alignment vertical="center"/>
    </xf>
    <xf numFmtId="2" fontId="13" fillId="0" borderId="21" xfId="0" applyNumberFormat="1" applyFont="1" applyBorder="1" applyAlignment="1">
      <alignment vertical="center"/>
    </xf>
    <xf numFmtId="9" fontId="13" fillId="0" borderId="22" xfId="1" applyFont="1" applyBorder="1" applyAlignment="1">
      <alignment vertical="center"/>
    </xf>
    <xf numFmtId="2" fontId="14" fillId="0" borderId="17" xfId="0" applyNumberFormat="1" applyFont="1" applyBorder="1" applyAlignment="1">
      <alignment horizontal="center" vertical="top"/>
    </xf>
    <xf numFmtId="2" fontId="13" fillId="0" borderId="17" xfId="0" applyNumberFormat="1" applyFont="1" applyBorder="1" applyAlignment="1">
      <alignment horizontal="center" vertical="top"/>
    </xf>
    <xf numFmtId="2" fontId="13" fillId="0" borderId="19" xfId="0" applyNumberFormat="1" applyFont="1" applyBorder="1" applyAlignment="1">
      <alignment vertical="top"/>
    </xf>
    <xf numFmtId="2" fontId="13" fillId="0" borderId="23" xfId="0" applyNumberFormat="1" applyFont="1" applyBorder="1" applyAlignment="1">
      <alignment vertical="top"/>
    </xf>
    <xf numFmtId="2" fontId="13" fillId="0" borderId="17" xfId="0" applyNumberFormat="1" applyFont="1" applyBorder="1" applyAlignment="1">
      <alignment horizontal="right" vertical="top"/>
    </xf>
    <xf numFmtId="2" fontId="13" fillId="0" borderId="17" xfId="0" applyNumberFormat="1" applyFont="1" applyBorder="1" applyAlignment="1">
      <alignment vertical="center"/>
    </xf>
    <xf numFmtId="2" fontId="14" fillId="0" borderId="17" xfId="0" applyNumberFormat="1" applyFont="1" applyBorder="1" applyAlignment="1">
      <alignment vertical="center"/>
    </xf>
    <xf numFmtId="2" fontId="13" fillId="0" borderId="24" xfId="0" applyNumberFormat="1" applyFont="1" applyBorder="1" applyAlignment="1">
      <alignment vertical="center"/>
    </xf>
    <xf numFmtId="2" fontId="13" fillId="0" borderId="25" xfId="0" applyNumberFormat="1" applyFont="1" applyBorder="1" applyAlignment="1">
      <alignment vertical="center"/>
    </xf>
    <xf numFmtId="2" fontId="13" fillId="0" borderId="22" xfId="0" applyNumberFormat="1" applyFont="1" applyBorder="1" applyAlignment="1">
      <alignment vertical="center"/>
    </xf>
    <xf numFmtId="2" fontId="14" fillId="0" borderId="16" xfId="0" applyNumberFormat="1" applyFont="1" applyBorder="1" applyAlignment="1">
      <alignment horizontal="right" vertical="top"/>
    </xf>
    <xf numFmtId="2" fontId="13" fillId="0" borderId="16" xfId="0" applyNumberFormat="1" applyFont="1" applyBorder="1" applyAlignment="1">
      <alignment horizontal="right" vertical="top"/>
    </xf>
    <xf numFmtId="165" fontId="14" fillId="0" borderId="19" xfId="1" applyNumberFormat="1" applyFont="1" applyBorder="1" applyAlignment="1">
      <alignment horizontal="right" vertical="center"/>
    </xf>
    <xf numFmtId="2" fontId="13" fillId="0" borderId="16" xfId="0" applyNumberFormat="1" applyFont="1" applyBorder="1" applyAlignment="1">
      <alignment horizontal="center" vertical="top"/>
    </xf>
    <xf numFmtId="2" fontId="14" fillId="0" borderId="18" xfId="0" applyNumberFormat="1" applyFont="1" applyBorder="1" applyAlignment="1">
      <alignment vertical="center"/>
    </xf>
    <xf numFmtId="0" fontId="13" fillId="0" borderId="5" xfId="0" applyFont="1" applyBorder="1" applyAlignment="1">
      <alignment vertical="top"/>
    </xf>
    <xf numFmtId="0" fontId="13" fillId="0" borderId="5" xfId="0" applyFont="1" applyBorder="1" applyAlignment="1">
      <alignment horizontal="center" vertical="top"/>
    </xf>
    <xf numFmtId="0" fontId="14" fillId="0" borderId="5" xfId="0" applyFont="1" applyBorder="1" applyAlignment="1">
      <alignment horizontal="center" vertical="center"/>
    </xf>
    <xf numFmtId="0" fontId="13" fillId="0" borderId="26" xfId="0" applyFont="1" applyBorder="1" applyAlignment="1">
      <alignment horizontal="left" vertical="top"/>
    </xf>
    <xf numFmtId="0" fontId="14" fillId="0" borderId="26" xfId="0" applyFont="1" applyBorder="1" applyAlignment="1">
      <alignment vertical="center"/>
    </xf>
    <xf numFmtId="0" fontId="14" fillId="0" borderId="26" xfId="0" applyFont="1" applyBorder="1" applyAlignment="1">
      <alignment horizontal="left" vertical="center"/>
    </xf>
    <xf numFmtId="0" fontId="14" fillId="0" borderId="26" xfId="0" applyFont="1" applyFill="1" applyBorder="1" applyAlignment="1">
      <alignment vertical="center"/>
    </xf>
    <xf numFmtId="0" fontId="14" fillId="0" borderId="26" xfId="0" applyFont="1" applyFill="1" applyBorder="1" applyAlignment="1">
      <alignment horizontal="left" vertical="center"/>
    </xf>
    <xf numFmtId="2" fontId="16" fillId="5" borderId="26" xfId="0" applyNumberFormat="1" applyFont="1" applyFill="1" applyBorder="1" applyAlignment="1">
      <alignment horizontal="center" vertical="top"/>
    </xf>
    <xf numFmtId="0" fontId="13" fillId="0" borderId="20" xfId="0" quotePrefix="1" applyFont="1" applyBorder="1" applyAlignment="1">
      <alignment horizontal="center"/>
    </xf>
    <xf numFmtId="0" fontId="13" fillId="0" borderId="23" xfId="0" quotePrefix="1" applyFont="1" applyBorder="1" applyAlignment="1">
      <alignment horizontal="center"/>
    </xf>
    <xf numFmtId="0" fontId="13" fillId="0" borderId="4" xfId="0" quotePrefix="1" applyFont="1" applyBorder="1" applyAlignment="1">
      <alignment horizontal="center"/>
    </xf>
    <xf numFmtId="0" fontId="9" fillId="0" borderId="5" xfId="0" applyFont="1" applyFill="1" applyBorder="1" applyAlignment="1">
      <alignment vertical="center" wrapText="1"/>
    </xf>
    <xf numFmtId="9" fontId="13" fillId="0" borderId="17" xfId="1" applyFont="1" applyFill="1" applyBorder="1" applyAlignment="1">
      <alignment vertical="center"/>
    </xf>
    <xf numFmtId="165" fontId="14" fillId="0" borderId="19" xfId="1" applyNumberFormat="1" applyFont="1" applyFill="1" applyBorder="1" applyAlignment="1">
      <alignment horizontal="right" vertical="center"/>
    </xf>
    <xf numFmtId="9" fontId="14" fillId="0" borderId="17" xfId="1" applyFont="1" applyFill="1" applyBorder="1" applyAlignment="1">
      <alignment vertical="center"/>
    </xf>
    <xf numFmtId="2" fontId="13" fillId="0" borderId="17" xfId="0" applyNumberFormat="1" applyFont="1" applyFill="1" applyBorder="1" applyAlignment="1">
      <alignment horizontal="center" vertical="top"/>
    </xf>
    <xf numFmtId="9" fontId="13" fillId="0" borderId="22" xfId="1" applyFont="1" applyFill="1" applyBorder="1" applyAlignment="1">
      <alignment vertical="center"/>
    </xf>
    <xf numFmtId="0" fontId="1" fillId="0" borderId="6" xfId="0" applyFont="1" applyBorder="1" applyAlignment="1">
      <alignment horizontal="center" wrapText="1"/>
    </xf>
    <xf numFmtId="0" fontId="1" fillId="0" borderId="6" xfId="0" applyFont="1" applyBorder="1" applyAlignment="1">
      <alignment horizontal="center" vertical="center" wrapText="1"/>
    </xf>
    <xf numFmtId="0" fontId="1" fillId="0" borderId="6" xfId="0" applyFont="1" applyFill="1" applyBorder="1" applyAlignment="1">
      <alignment horizontal="center" wrapText="1"/>
    </xf>
    <xf numFmtId="0" fontId="1" fillId="0" borderId="6" xfId="0" applyFont="1" applyBorder="1" applyAlignment="1">
      <alignment horizontal="center" wrapText="1"/>
    </xf>
    <xf numFmtId="0" fontId="1" fillId="0" borderId="1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6" xfId="0" applyFont="1" applyFill="1" applyBorder="1" applyAlignment="1">
      <alignment horizontal="center" wrapText="1"/>
    </xf>
    <xf numFmtId="0" fontId="1" fillId="0" borderId="7" xfId="0" applyFont="1" applyBorder="1" applyAlignment="1">
      <alignment horizontal="center" vertical="center" wrapText="1"/>
    </xf>
    <xf numFmtId="0" fontId="1" fillId="0" borderId="15" xfId="0" applyFont="1" applyBorder="1" applyAlignment="1">
      <alignment horizontal="left" vertical="center"/>
    </xf>
    <xf numFmtId="0" fontId="4" fillId="0" borderId="2" xfId="0" applyFont="1" applyFill="1" applyBorder="1" applyAlignment="1">
      <alignment horizontal="center" vertical="center" wrapText="1"/>
    </xf>
    <xf numFmtId="0" fontId="4" fillId="0" borderId="2" xfId="0" applyFont="1" applyBorder="1" applyAlignment="1">
      <alignment horizontal="center" vertical="center"/>
    </xf>
    <xf numFmtId="0" fontId="1" fillId="0" borderId="6" xfId="0" applyFont="1" applyBorder="1" applyAlignment="1">
      <alignment horizontal="center" vertical="center" wrapText="1"/>
    </xf>
    <xf numFmtId="0" fontId="4" fillId="0" borderId="2" xfId="0" applyFont="1" applyBorder="1" applyAlignment="1">
      <alignment horizontal="center" vertical="center"/>
    </xf>
    <xf numFmtId="0" fontId="4" fillId="0" borderId="14" xfId="0" applyFont="1" applyBorder="1" applyAlignment="1">
      <alignment horizontal="center" vertical="center"/>
    </xf>
    <xf numFmtId="0" fontId="4" fillId="0" borderId="0" xfId="0" applyFont="1" applyAlignment="1">
      <alignment horizontal="center"/>
    </xf>
    <xf numFmtId="0" fontId="5" fillId="0" borderId="5" xfId="0" applyFont="1" applyBorder="1" applyAlignment="1">
      <alignment horizontal="left" vertical="center"/>
    </xf>
    <xf numFmtId="0" fontId="9" fillId="0" borderId="0" xfId="0" applyFont="1" applyAlignment="1">
      <alignment horizontal="center"/>
    </xf>
    <xf numFmtId="0" fontId="5" fillId="0" borderId="5" xfId="0" applyFont="1" applyFill="1" applyBorder="1" applyAlignment="1">
      <alignment horizontal="left" vertical="center"/>
    </xf>
    <xf numFmtId="49" fontId="0" fillId="0" borderId="0" xfId="0" applyNumberFormat="1" applyAlignment="1">
      <alignment wrapText="1"/>
    </xf>
    <xf numFmtId="15" fontId="0" fillId="0" borderId="0" xfId="0" applyNumberFormat="1" applyBorder="1" applyAlignment="1">
      <alignment horizontal="left" indent="3"/>
    </xf>
    <xf numFmtId="0" fontId="4" fillId="0"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wrapText="1"/>
    </xf>
    <xf numFmtId="0" fontId="1" fillId="0" borderId="1" xfId="0" applyFont="1" applyBorder="1" applyAlignment="1">
      <alignment horizontal="center" vertical="center"/>
    </xf>
    <xf numFmtId="0" fontId="1" fillId="0" borderId="6" xfId="0" applyFont="1" applyBorder="1" applyAlignment="1">
      <alignment horizontal="left" vertical="center"/>
    </xf>
    <xf numFmtId="0" fontId="14" fillId="0" borderId="0" xfId="0" applyFont="1" applyAlignment="1"/>
    <xf numFmtId="2" fontId="2" fillId="0" borderId="1" xfId="0" applyNumberFormat="1" applyFont="1" applyBorder="1" applyAlignment="1">
      <alignment horizontal="center" vertical="center"/>
    </xf>
    <xf numFmtId="0" fontId="17" fillId="0" borderId="0" xfId="2" applyFont="1" applyBorder="1" applyAlignment="1">
      <alignment horizontal="center" vertical="top"/>
    </xf>
    <xf numFmtId="0" fontId="17" fillId="0" borderId="0" xfId="2" applyFont="1" applyBorder="1"/>
    <xf numFmtId="0" fontId="17" fillId="0" borderId="0" xfId="2" applyFont="1" applyAlignment="1">
      <alignment horizontal="center" vertical="top"/>
    </xf>
    <xf numFmtId="0" fontId="17" fillId="0" borderId="0" xfId="2" applyFont="1" applyAlignment="1">
      <alignment vertical="center"/>
    </xf>
    <xf numFmtId="0" fontId="17" fillId="0" borderId="0" xfId="2" applyFont="1" applyAlignment="1">
      <alignment vertical="top"/>
    </xf>
    <xf numFmtId="0" fontId="17" fillId="0" borderId="0" xfId="2" applyFont="1"/>
    <xf numFmtId="0" fontId="18" fillId="0" borderId="0" xfId="2" applyFont="1" applyFill="1" applyBorder="1" applyAlignment="1">
      <alignment horizontal="center" vertical="center"/>
    </xf>
    <xf numFmtId="0" fontId="18" fillId="0" borderId="0" xfId="2" applyFont="1" applyFill="1" applyAlignment="1">
      <alignment horizontal="center" vertical="center"/>
    </xf>
    <xf numFmtId="0" fontId="18" fillId="0" borderId="0" xfId="2" applyFont="1" applyFill="1"/>
    <xf numFmtId="0" fontId="18" fillId="0" borderId="0" xfId="2" applyFont="1" applyFill="1" applyAlignment="1">
      <alignment horizontal="left" vertical="center"/>
    </xf>
    <xf numFmtId="0" fontId="19" fillId="0" borderId="0" xfId="2" applyFont="1"/>
    <xf numFmtId="0" fontId="18" fillId="0" borderId="0" xfId="2" applyFont="1" applyFill="1" applyAlignment="1">
      <alignment vertical="center" wrapText="1"/>
    </xf>
    <xf numFmtId="0" fontId="18" fillId="0" borderId="0" xfId="2" applyFont="1" applyFill="1" applyBorder="1" applyAlignment="1">
      <alignment horizontal="center" vertical="center" wrapText="1"/>
    </xf>
    <xf numFmtId="0" fontId="18" fillId="0" borderId="0" xfId="2" applyFont="1" applyFill="1" applyAlignment="1">
      <alignment horizontal="center" vertical="center" wrapText="1"/>
    </xf>
    <xf numFmtId="0" fontId="18" fillId="0" borderId="0" xfId="2" applyFont="1" applyFill="1" applyBorder="1" applyAlignment="1">
      <alignment vertical="center"/>
    </xf>
    <xf numFmtId="0" fontId="18" fillId="0" borderId="0" xfId="2" applyFont="1" applyFill="1" applyBorder="1"/>
    <xf numFmtId="0" fontId="18" fillId="0" borderId="0" xfId="2" applyFont="1" applyFill="1" applyAlignment="1">
      <alignment vertical="center"/>
    </xf>
    <xf numFmtId="0" fontId="18" fillId="0" borderId="1" xfId="2" applyFont="1" applyFill="1" applyBorder="1" applyAlignment="1">
      <alignment horizontal="center" vertical="center"/>
    </xf>
    <xf numFmtId="0" fontId="18" fillId="0" borderId="12" xfId="2" applyFont="1" applyFill="1" applyBorder="1" applyAlignment="1">
      <alignment horizontal="center" vertical="center"/>
    </xf>
    <xf numFmtId="0" fontId="18" fillId="0" borderId="5" xfId="2" applyFont="1" applyFill="1" applyBorder="1" applyAlignment="1">
      <alignment vertical="center" wrapText="1"/>
    </xf>
    <xf numFmtId="0" fontId="18" fillId="0" borderId="15" xfId="2" applyFont="1" applyFill="1" applyBorder="1" applyAlignment="1">
      <alignment vertical="center" wrapText="1"/>
    </xf>
    <xf numFmtId="0" fontId="18" fillId="0" borderId="13" xfId="2" applyFont="1" applyFill="1" applyBorder="1" applyAlignment="1">
      <alignment vertical="center"/>
    </xf>
    <xf numFmtId="0" fontId="18" fillId="0" borderId="14" xfId="2" applyFont="1" applyFill="1" applyBorder="1" applyAlignment="1">
      <alignment vertical="center"/>
    </xf>
    <xf numFmtId="0" fontId="18" fillId="0" borderId="5" xfId="2" applyFont="1" applyFill="1" applyBorder="1" applyAlignment="1">
      <alignment horizontal="center" vertical="center"/>
    </xf>
    <xf numFmtId="0" fontId="18" fillId="0" borderId="15" xfId="2" applyFont="1" applyFill="1" applyBorder="1" applyAlignment="1">
      <alignment vertical="center"/>
    </xf>
    <xf numFmtId="0" fontId="18" fillId="0" borderId="6" xfId="2" applyFont="1" applyFill="1" applyBorder="1" applyAlignment="1">
      <alignment vertical="center"/>
    </xf>
    <xf numFmtId="0" fontId="18" fillId="0" borderId="5" xfId="2" applyFont="1" applyFill="1" applyBorder="1" applyAlignment="1"/>
    <xf numFmtId="0" fontId="18" fillId="0" borderId="15" xfId="2" applyFont="1" applyFill="1" applyBorder="1" applyAlignment="1"/>
    <xf numFmtId="0" fontId="18" fillId="0" borderId="8" xfId="2" applyFont="1" applyFill="1" applyBorder="1" applyAlignment="1">
      <alignment horizontal="center" vertical="center"/>
    </xf>
    <xf numFmtId="0" fontId="18" fillId="0" borderId="7" xfId="2" applyFont="1" applyFill="1" applyBorder="1" applyAlignment="1">
      <alignment vertical="center"/>
    </xf>
    <xf numFmtId="0" fontId="18" fillId="0" borderId="9" xfId="2" applyFont="1" applyFill="1" applyBorder="1" applyAlignment="1">
      <alignment vertical="center"/>
    </xf>
    <xf numFmtId="0" fontId="18" fillId="0" borderId="8" xfId="2" applyFont="1" applyFill="1" applyBorder="1" applyAlignment="1">
      <alignment vertical="center" wrapText="1"/>
    </xf>
    <xf numFmtId="0" fontId="18" fillId="0" borderId="7" xfId="2" applyFont="1" applyFill="1" applyBorder="1" applyAlignment="1">
      <alignment vertical="center" wrapText="1"/>
    </xf>
    <xf numFmtId="0" fontId="18" fillId="0" borderId="5" xfId="2" applyFont="1" applyFill="1" applyBorder="1" applyAlignment="1">
      <alignment horizontal="left" vertical="center"/>
    </xf>
    <xf numFmtId="0" fontId="18" fillId="0" borderId="15" xfId="2" applyFont="1" applyFill="1" applyBorder="1" applyAlignment="1">
      <alignment horizontal="center" vertical="center"/>
    </xf>
    <xf numFmtId="0" fontId="18" fillId="0" borderId="15" xfId="2" applyFont="1" applyFill="1" applyBorder="1" applyAlignment="1">
      <alignment horizontal="left" vertical="center" wrapText="1"/>
    </xf>
    <xf numFmtId="0" fontId="18" fillId="0" borderId="2" xfId="2" applyFont="1" applyFill="1" applyBorder="1" applyAlignment="1">
      <alignment horizontal="center" vertical="center"/>
    </xf>
    <xf numFmtId="0" fontId="21" fillId="0" borderId="2" xfId="2" applyFont="1" applyBorder="1" applyAlignment="1">
      <alignment horizontal="center" vertical="center"/>
    </xf>
    <xf numFmtId="0" fontId="18" fillId="0" borderId="1" xfId="2" applyNumberFormat="1" applyFont="1" applyFill="1" applyBorder="1" applyAlignment="1">
      <alignment horizontal="center" vertical="center"/>
    </xf>
    <xf numFmtId="0" fontId="18" fillId="0" borderId="1" xfId="2" applyFont="1" applyFill="1" applyBorder="1" applyAlignment="1">
      <alignment horizontal="center" vertical="center" wrapText="1"/>
    </xf>
    <xf numFmtId="0" fontId="18" fillId="0" borderId="1" xfId="2" applyFont="1" applyFill="1" applyBorder="1" applyAlignment="1">
      <alignment horizontal="center"/>
    </xf>
    <xf numFmtId="0" fontId="18" fillId="0" borderId="0" xfId="2" applyFont="1" applyFill="1" applyAlignment="1">
      <alignment horizontal="center"/>
    </xf>
    <xf numFmtId="0" fontId="18" fillId="0" borderId="3" xfId="2" applyFont="1" applyFill="1" applyBorder="1" applyAlignment="1">
      <alignment horizontal="center" vertical="center"/>
    </xf>
    <xf numFmtId="0" fontId="22" fillId="0" borderId="2" xfId="2" applyFont="1" applyBorder="1" applyAlignment="1">
      <alignment horizontal="center" vertical="center"/>
    </xf>
    <xf numFmtId="0" fontId="17" fillId="0" borderId="3" xfId="2" applyFont="1" applyBorder="1" applyAlignment="1">
      <alignment vertical="center"/>
    </xf>
    <xf numFmtId="0" fontId="17" fillId="0" borderId="0" xfId="2" applyFont="1" applyBorder="1" applyAlignment="1">
      <alignment vertical="center"/>
    </xf>
    <xf numFmtId="0" fontId="17" fillId="0" borderId="1" xfId="2" applyFont="1" applyBorder="1" applyAlignment="1">
      <alignment horizontal="center" vertical="center"/>
    </xf>
    <xf numFmtId="0" fontId="22" fillId="0" borderId="1" xfId="2" applyFont="1" applyBorder="1" applyAlignment="1">
      <alignment horizontal="center" vertical="center"/>
    </xf>
    <xf numFmtId="0" fontId="17" fillId="0" borderId="1" xfId="2" applyFont="1" applyBorder="1"/>
    <xf numFmtId="0" fontId="17" fillId="0" borderId="3" xfId="2" applyFont="1" applyBorder="1" applyAlignment="1">
      <alignment horizontal="center" vertical="center"/>
    </xf>
    <xf numFmtId="0" fontId="17" fillId="0" borderId="11" xfId="2" applyFont="1" applyBorder="1" applyAlignment="1">
      <alignment vertical="center" wrapText="1"/>
    </xf>
    <xf numFmtId="0" fontId="17" fillId="0" borderId="5" xfId="2" applyFont="1" applyBorder="1" applyAlignment="1">
      <alignment vertical="center"/>
    </xf>
    <xf numFmtId="0" fontId="17" fillId="0" borderId="15" xfId="2" applyFont="1" applyBorder="1" applyAlignment="1">
      <alignment vertical="center"/>
    </xf>
    <xf numFmtId="0" fontId="17" fillId="0" borderId="6" xfId="2" applyFont="1" applyBorder="1" applyAlignment="1">
      <alignment vertical="center"/>
    </xf>
    <xf numFmtId="0" fontId="17" fillId="0" borderId="2" xfId="2" applyFont="1" applyBorder="1" applyAlignment="1">
      <alignment horizontal="center" vertical="center"/>
    </xf>
    <xf numFmtId="0" fontId="17" fillId="0" borderId="4" xfId="2" applyFont="1" applyBorder="1" applyAlignment="1">
      <alignment vertical="center"/>
    </xf>
    <xf numFmtId="0" fontId="17" fillId="0" borderId="1" xfId="2" applyFont="1" applyBorder="1" applyAlignment="1">
      <alignment horizontal="center" vertical="center" wrapText="1"/>
    </xf>
    <xf numFmtId="0" fontId="23" fillId="0" borderId="3" xfId="2" applyFont="1" applyBorder="1" applyAlignment="1">
      <alignment horizontal="center" vertical="center"/>
    </xf>
    <xf numFmtId="0" fontId="18" fillId="0" borderId="3" xfId="2" applyFont="1" applyBorder="1" applyAlignment="1">
      <alignment horizontal="center" vertical="top"/>
    </xf>
    <xf numFmtId="0" fontId="18" fillId="0" borderId="2" xfId="2" applyFont="1" applyBorder="1" applyAlignment="1">
      <alignment horizontal="center" vertical="top" wrapText="1"/>
    </xf>
    <xf numFmtId="0" fontId="17" fillId="0" borderId="6" xfId="2" applyFont="1" applyBorder="1" applyAlignment="1">
      <alignment horizontal="center" vertical="center" wrapText="1"/>
    </xf>
    <xf numFmtId="0" fontId="18" fillId="0" borderId="4" xfId="2" applyFont="1" applyBorder="1" applyAlignment="1">
      <alignment horizontal="center" vertical="top" wrapText="1"/>
    </xf>
    <xf numFmtId="0" fontId="19" fillId="0" borderId="5" xfId="2" applyFont="1" applyBorder="1" applyAlignment="1">
      <alignment vertical="top"/>
    </xf>
    <xf numFmtId="0" fontId="24" fillId="0" borderId="1" xfId="2" applyFont="1" applyBorder="1" applyAlignment="1">
      <alignment vertical="top"/>
    </xf>
    <xf numFmtId="0" fontId="19" fillId="0" borderId="15" xfId="2" applyFont="1" applyBorder="1" applyAlignment="1">
      <alignment horizontal="left" vertical="top" wrapText="1"/>
    </xf>
    <xf numFmtId="0" fontId="19" fillId="0" borderId="6" xfId="2" applyFont="1" applyBorder="1" applyAlignment="1">
      <alignment horizontal="left" vertical="top" wrapText="1"/>
    </xf>
    <xf numFmtId="0" fontId="24" fillId="0" borderId="6" xfId="2" applyFont="1" applyBorder="1" applyAlignment="1">
      <alignment vertical="top"/>
    </xf>
    <xf numFmtId="0" fontId="18" fillId="0" borderId="4" xfId="2" applyFont="1" applyBorder="1" applyAlignment="1">
      <alignment horizontal="center" vertical="top"/>
    </xf>
    <xf numFmtId="0" fontId="18" fillId="0" borderId="1" xfId="2" applyFont="1" applyBorder="1" applyAlignment="1">
      <alignment horizontal="center" vertical="center" wrapText="1"/>
    </xf>
    <xf numFmtId="0" fontId="18" fillId="0" borderId="2" xfId="2" applyFont="1" applyBorder="1" applyAlignment="1">
      <alignment horizontal="center" vertical="center" wrapText="1"/>
    </xf>
    <xf numFmtId="0" fontId="18" fillId="0" borderId="1" xfId="2" applyFont="1" applyBorder="1" applyAlignment="1">
      <alignment vertical="center" wrapText="1"/>
    </xf>
    <xf numFmtId="0" fontId="25" fillId="6" borderId="3" xfId="2" applyFont="1" applyFill="1" applyBorder="1" applyAlignment="1">
      <alignment horizontal="center" vertical="top" wrapText="1"/>
    </xf>
    <xf numFmtId="0" fontId="18" fillId="0" borderId="3" xfId="2" applyFont="1" applyBorder="1" applyAlignment="1">
      <alignment horizontal="center" vertical="top" wrapText="1"/>
    </xf>
    <xf numFmtId="0" fontId="22" fillId="6" borderId="1" xfId="2" applyFont="1" applyFill="1" applyBorder="1" applyAlignment="1">
      <alignment horizontal="center" vertical="center" wrapText="1"/>
    </xf>
    <xf numFmtId="0" fontId="18" fillId="0" borderId="4" xfId="2" applyFont="1" applyBorder="1" applyAlignment="1">
      <alignment horizontal="center" vertical="center" wrapText="1"/>
    </xf>
    <xf numFmtId="0" fontId="22" fillId="6" borderId="3" xfId="2" applyFont="1" applyFill="1" applyBorder="1" applyAlignment="1">
      <alignment horizontal="center" vertical="top" wrapText="1"/>
    </xf>
    <xf numFmtId="0" fontId="18" fillId="0" borderId="3" xfId="2" applyFont="1" applyBorder="1" applyAlignment="1">
      <alignment horizontal="center" vertical="center" wrapText="1"/>
    </xf>
    <xf numFmtId="0" fontId="18" fillId="0" borderId="3" xfId="2" applyFont="1" applyBorder="1" applyAlignment="1">
      <alignment vertical="center" wrapText="1"/>
    </xf>
    <xf numFmtId="0" fontId="22" fillId="6" borderId="3" xfId="2" applyFont="1" applyFill="1" applyBorder="1" applyAlignment="1">
      <alignment vertical="center" wrapText="1"/>
    </xf>
    <xf numFmtId="0" fontId="18" fillId="0" borderId="4" xfId="2" applyFont="1" applyBorder="1" applyAlignment="1">
      <alignment vertical="center" wrapText="1"/>
    </xf>
    <xf numFmtId="0" fontId="22" fillId="6" borderId="5" xfId="2" applyFont="1" applyFill="1" applyBorder="1" applyAlignment="1">
      <alignment vertical="center" wrapText="1"/>
    </xf>
    <xf numFmtId="0" fontId="22" fillId="6" borderId="1" xfId="2" applyFont="1" applyFill="1" applyBorder="1" applyAlignment="1">
      <alignment vertical="center" wrapText="1"/>
    </xf>
    <xf numFmtId="0" fontId="18" fillId="0" borderId="5" xfId="2" applyFont="1" applyFill="1" applyBorder="1" applyAlignment="1">
      <alignment vertical="center"/>
    </xf>
    <xf numFmtId="0" fontId="18" fillId="0" borderId="1" xfId="2" applyFont="1" applyFill="1" applyBorder="1" applyAlignment="1">
      <alignment vertical="center"/>
    </xf>
    <xf numFmtId="0" fontId="22" fillId="6" borderId="3" xfId="2" applyFont="1" applyFill="1" applyBorder="1" applyAlignment="1">
      <alignment horizontal="center" vertical="top"/>
    </xf>
    <xf numFmtId="0" fontId="22" fillId="6" borderId="5" xfId="2" applyFont="1" applyFill="1" applyBorder="1" applyAlignment="1">
      <alignment horizontal="center" vertical="center" wrapText="1"/>
    </xf>
    <xf numFmtId="0" fontId="18" fillId="0" borderId="1" xfId="2" applyFont="1" applyBorder="1" applyAlignment="1">
      <alignment horizontal="left" vertical="center" wrapText="1"/>
    </xf>
    <xf numFmtId="0" fontId="18" fillId="0" borderId="1" xfId="2" applyFont="1" applyBorder="1" applyAlignment="1">
      <alignment horizontal="center" vertical="top" wrapText="1"/>
    </xf>
    <xf numFmtId="0" fontId="17" fillId="0" borderId="1" xfId="2" applyFont="1" applyBorder="1" applyAlignment="1">
      <alignment horizontal="center" vertical="top" wrapText="1"/>
    </xf>
    <xf numFmtId="0" fontId="17" fillId="0" borderId="1" xfId="2" applyFont="1" applyBorder="1" applyAlignment="1">
      <alignment vertical="top"/>
    </xf>
    <xf numFmtId="0" fontId="22" fillId="6" borderId="3" xfId="2" quotePrefix="1" applyFont="1" applyFill="1" applyBorder="1" applyAlignment="1">
      <alignment horizontal="center" vertical="top" wrapText="1"/>
    </xf>
    <xf numFmtId="0" fontId="18" fillId="6" borderId="8" xfId="2" applyFont="1" applyFill="1" applyBorder="1" applyAlignment="1">
      <alignment horizontal="center" vertical="center" wrapText="1"/>
    </xf>
    <xf numFmtId="0" fontId="17" fillId="0" borderId="2" xfId="2" applyFont="1" applyBorder="1" applyAlignment="1">
      <alignment horizontal="center" vertical="center" wrapText="1"/>
    </xf>
    <xf numFmtId="0" fontId="17" fillId="0" borderId="2" xfId="2" applyFont="1" applyBorder="1"/>
    <xf numFmtId="0" fontId="18" fillId="6" borderId="5" xfId="2" applyFont="1" applyFill="1" applyBorder="1" applyAlignment="1">
      <alignment horizontal="center" vertical="center" wrapText="1"/>
    </xf>
    <xf numFmtId="0" fontId="22" fillId="6" borderId="2" xfId="2" applyFont="1" applyFill="1" applyBorder="1" applyAlignment="1">
      <alignment horizontal="center" vertical="top" wrapText="1"/>
    </xf>
    <xf numFmtId="0" fontId="18" fillId="6" borderId="12" xfId="2" applyFont="1" applyFill="1" applyBorder="1" applyAlignment="1">
      <alignment horizontal="center" vertical="center" wrapText="1"/>
    </xf>
    <xf numFmtId="0" fontId="17" fillId="0" borderId="4" xfId="2" applyFont="1" applyBorder="1" applyAlignment="1">
      <alignment horizontal="center" vertical="center" wrapText="1"/>
    </xf>
    <xf numFmtId="0" fontId="22" fillId="0" borderId="4" xfId="2" applyFont="1" applyBorder="1" applyAlignment="1">
      <alignment horizontal="center" vertical="center"/>
    </xf>
    <xf numFmtId="0" fontId="17" fillId="0" borderId="4" xfId="2" applyFont="1" applyBorder="1"/>
    <xf numFmtId="0" fontId="22" fillId="6" borderId="3" xfId="2" applyFont="1" applyFill="1" applyBorder="1" applyAlignment="1">
      <alignment horizontal="center" vertical="center" wrapText="1"/>
    </xf>
    <xf numFmtId="0" fontId="18" fillId="0" borderId="1" xfId="2" quotePrefix="1" applyFont="1" applyBorder="1" applyAlignment="1">
      <alignment horizontal="center" vertical="center"/>
    </xf>
    <xf numFmtId="0" fontId="22" fillId="6" borderId="3" xfId="2" quotePrefix="1" applyFont="1" applyFill="1" applyBorder="1" applyAlignment="1">
      <alignment horizontal="center" vertical="center" wrapText="1"/>
    </xf>
    <xf numFmtId="0" fontId="18" fillId="0" borderId="1" xfId="2" quotePrefix="1" applyFont="1" applyFill="1" applyBorder="1" applyAlignment="1">
      <alignment horizontal="center" vertical="center"/>
    </xf>
    <xf numFmtId="0" fontId="22" fillId="6" borderId="4" xfId="2" applyFont="1" applyFill="1" applyBorder="1" applyAlignment="1">
      <alignment horizontal="center" vertical="center" wrapText="1"/>
    </xf>
    <xf numFmtId="0" fontId="23" fillId="0" borderId="2" xfId="2" applyFont="1" applyBorder="1" applyAlignment="1">
      <alignment horizontal="center" vertical="center"/>
    </xf>
    <xf numFmtId="0" fontId="18" fillId="0" borderId="2" xfId="2" applyFont="1" applyBorder="1" applyAlignment="1">
      <alignment horizontal="center" vertical="center"/>
    </xf>
    <xf numFmtId="0" fontId="18" fillId="0" borderId="5" xfId="2" applyFont="1" applyBorder="1" applyAlignment="1">
      <alignment vertical="center"/>
    </xf>
    <xf numFmtId="0" fontId="18" fillId="0" borderId="3" xfId="2" applyFont="1" applyBorder="1" applyAlignment="1">
      <alignment horizontal="center" vertical="center"/>
    </xf>
    <xf numFmtId="0" fontId="18" fillId="0" borderId="2" xfId="2" applyNumberFormat="1" applyFont="1" applyBorder="1" applyAlignment="1">
      <alignment horizontal="center" vertical="top"/>
    </xf>
    <xf numFmtId="0" fontId="18" fillId="0" borderId="5" xfId="2" applyFont="1" applyBorder="1" applyAlignment="1">
      <alignment vertical="center" wrapText="1"/>
    </xf>
    <xf numFmtId="0" fontId="18" fillId="0" borderId="1" xfId="2" applyFont="1" applyBorder="1" applyAlignment="1">
      <alignment horizontal="center" vertical="center"/>
    </xf>
    <xf numFmtId="0" fontId="18" fillId="0" borderId="4" xfId="2" applyFont="1" applyBorder="1" applyAlignment="1">
      <alignment horizontal="center" vertical="center"/>
    </xf>
    <xf numFmtId="0" fontId="18" fillId="0" borderId="3" xfId="2" applyFont="1" applyBorder="1" applyAlignment="1">
      <alignment horizontal="left" vertical="center" wrapText="1"/>
    </xf>
    <xf numFmtId="0" fontId="18" fillId="0" borderId="1" xfId="2" applyFont="1" applyBorder="1" applyAlignment="1">
      <alignment vertical="center"/>
    </xf>
    <xf numFmtId="0" fontId="18" fillId="0" borderId="4" xfId="2" applyFont="1" applyBorder="1" applyAlignment="1">
      <alignment horizontal="left" vertical="center" wrapText="1"/>
    </xf>
    <xf numFmtId="0" fontId="18" fillId="0" borderId="1" xfId="2" applyFont="1" applyBorder="1" applyAlignment="1">
      <alignment horizontal="center" vertical="top"/>
    </xf>
    <xf numFmtId="1" fontId="18" fillId="0" borderId="1" xfId="2" applyNumberFormat="1" applyFont="1" applyBorder="1" applyAlignment="1">
      <alignment horizontal="center" vertical="center"/>
    </xf>
    <xf numFmtId="0" fontId="18" fillId="0" borderId="1" xfId="2" applyNumberFormat="1" applyFont="1" applyBorder="1" applyAlignment="1">
      <alignment horizontal="center" vertical="center"/>
    </xf>
    <xf numFmtId="0" fontId="22" fillId="6" borderId="8" xfId="2" applyFont="1" applyFill="1" applyBorder="1" applyAlignment="1">
      <alignment horizontal="center" vertical="center" wrapText="1"/>
    </xf>
    <xf numFmtId="0" fontId="18" fillId="0" borderId="3" xfId="2" applyNumberFormat="1" applyFont="1" applyBorder="1" applyAlignment="1">
      <alignment vertical="center" wrapText="1"/>
    </xf>
    <xf numFmtId="0" fontId="18" fillId="0" borderId="3" xfId="2" applyNumberFormat="1" applyFont="1" applyBorder="1" applyAlignment="1">
      <alignment horizontal="left" vertical="center" wrapText="1"/>
    </xf>
    <xf numFmtId="0" fontId="18" fillId="0" borderId="4" xfId="2" applyNumberFormat="1" applyFont="1" applyBorder="1" applyAlignment="1">
      <alignment horizontal="left" vertical="center" wrapText="1"/>
    </xf>
    <xf numFmtId="0" fontId="18" fillId="0" borderId="15" xfId="2" applyFont="1" applyBorder="1" applyAlignment="1">
      <alignment horizontal="left" vertical="center" wrapText="1"/>
    </xf>
    <xf numFmtId="0" fontId="22" fillId="6" borderId="4" xfId="2" applyFont="1" applyFill="1" applyBorder="1" applyAlignment="1">
      <alignment horizontal="center" vertical="top" wrapText="1"/>
    </xf>
    <xf numFmtId="0" fontId="23" fillId="0" borderId="3" xfId="2" applyFont="1" applyBorder="1" applyAlignment="1">
      <alignment horizontal="center" vertical="top"/>
    </xf>
    <xf numFmtId="0" fontId="18" fillId="0" borderId="2" xfId="2" applyFont="1" applyBorder="1" applyAlignment="1">
      <alignment horizontal="center" vertical="top"/>
    </xf>
    <xf numFmtId="167" fontId="18" fillId="0" borderId="1" xfId="2" applyNumberFormat="1" applyFont="1" applyBorder="1" applyAlignment="1">
      <alignment horizontal="center" vertical="center" wrapText="1"/>
    </xf>
    <xf numFmtId="167" fontId="18" fillId="0" borderId="2" xfId="2" applyNumberFormat="1" applyFont="1" applyBorder="1" applyAlignment="1">
      <alignment horizontal="center" vertical="center" wrapText="1"/>
    </xf>
    <xf numFmtId="167" fontId="22" fillId="0" borderId="1" xfId="3" applyNumberFormat="1" applyFont="1" applyBorder="1" applyAlignment="1">
      <alignment horizontal="center" vertical="center" wrapText="1"/>
    </xf>
    <xf numFmtId="167" fontId="17" fillId="0" borderId="1" xfId="2" applyNumberFormat="1" applyFont="1" applyBorder="1" applyAlignment="1">
      <alignment horizontal="center" vertical="center" wrapText="1"/>
    </xf>
    <xf numFmtId="0" fontId="18" fillId="0" borderId="1" xfId="2" applyFont="1" applyBorder="1" applyAlignment="1">
      <alignment horizontal="left" vertical="center"/>
    </xf>
    <xf numFmtId="167" fontId="18" fillId="0" borderId="1" xfId="2" applyNumberFormat="1" applyFont="1" applyBorder="1" applyAlignment="1">
      <alignment horizontal="center" vertical="center"/>
    </xf>
    <xf numFmtId="0" fontId="22" fillId="0" borderId="5" xfId="2" applyFont="1" applyBorder="1" applyAlignment="1">
      <alignment horizontal="center" vertical="center"/>
    </xf>
    <xf numFmtId="0" fontId="18" fillId="0" borderId="6" xfId="2" applyFont="1" applyBorder="1" applyAlignment="1">
      <alignment vertical="center" wrapText="1"/>
    </xf>
    <xf numFmtId="0" fontId="18" fillId="0" borderId="4" xfId="2" applyFont="1" applyFill="1" applyBorder="1" applyAlignment="1">
      <alignment horizontal="center" vertical="center"/>
    </xf>
    <xf numFmtId="0" fontId="26" fillId="0" borderId="0" xfId="2" applyFont="1" applyBorder="1" applyAlignment="1">
      <alignment horizontal="center" vertical="center"/>
    </xf>
    <xf numFmtId="0" fontId="22" fillId="0" borderId="0" xfId="2" applyFont="1" applyBorder="1"/>
    <xf numFmtId="0" fontId="22" fillId="0" borderId="0" xfId="2" applyFont="1" applyBorder="1" applyAlignment="1">
      <alignment horizontal="center" vertical="top"/>
    </xf>
    <xf numFmtId="0" fontId="17" fillId="0" borderId="0" xfId="2" applyFont="1" applyAlignment="1">
      <alignment horizontal="center" vertical="center"/>
    </xf>
    <xf numFmtId="0" fontId="17" fillId="0" borderId="0" xfId="2" applyFont="1" applyAlignment="1">
      <alignment horizontal="center" vertical="center" wrapText="1"/>
    </xf>
    <xf numFmtId="0" fontId="22" fillId="0" borderId="0" xfId="2" applyFont="1" applyBorder="1" applyAlignment="1">
      <alignment horizontal="center"/>
    </xf>
    <xf numFmtId="168" fontId="21" fillId="0" borderId="35" xfId="2" applyNumberFormat="1" applyFont="1" applyFill="1" applyBorder="1" applyAlignment="1" applyProtection="1">
      <alignment horizontal="center" vertical="center"/>
    </xf>
    <xf numFmtId="168" fontId="21" fillId="0" borderId="36" xfId="2" applyNumberFormat="1" applyFont="1" applyFill="1" applyBorder="1" applyAlignment="1" applyProtection="1">
      <alignment vertical="center"/>
    </xf>
    <xf numFmtId="168" fontId="28" fillId="0" borderId="15" xfId="2" applyNumberFormat="1" applyFont="1" applyFill="1" applyBorder="1" applyAlignment="1" applyProtection="1">
      <alignment vertical="center"/>
    </xf>
    <xf numFmtId="168" fontId="22" fillId="0" borderId="15" xfId="2" applyNumberFormat="1" applyFont="1" applyFill="1" applyBorder="1" applyAlignment="1" applyProtection="1">
      <alignment horizontal="left" vertical="center"/>
    </xf>
    <xf numFmtId="168" fontId="22" fillId="0" borderId="15" xfId="2" applyNumberFormat="1" applyFont="1" applyFill="1" applyBorder="1" applyAlignment="1" applyProtection="1">
      <alignment vertical="center"/>
    </xf>
    <xf numFmtId="0" fontId="18" fillId="0" borderId="15" xfId="2" applyFont="1" applyFill="1" applyBorder="1" applyAlignment="1" applyProtection="1">
      <alignment vertical="center"/>
    </xf>
    <xf numFmtId="168" fontId="22" fillId="0" borderId="37" xfId="2" applyNumberFormat="1" applyFont="1" applyFill="1" applyBorder="1" applyAlignment="1" applyProtection="1">
      <alignment horizontal="center" vertical="top"/>
    </xf>
    <xf numFmtId="168" fontId="22" fillId="0" borderId="38" xfId="2" applyNumberFormat="1" applyFont="1" applyFill="1" applyBorder="1" applyAlignment="1" applyProtection="1">
      <alignment horizontal="center" vertical="top"/>
    </xf>
    <xf numFmtId="168" fontId="22" fillId="0" borderId="10" xfId="2" applyNumberFormat="1" applyFont="1" applyFill="1" applyBorder="1" applyAlignment="1" applyProtection="1">
      <alignment horizontal="left" vertical="center"/>
    </xf>
    <xf numFmtId="0" fontId="18" fillId="0" borderId="0" xfId="2" applyFont="1" applyFill="1" applyBorder="1" applyAlignment="1" applyProtection="1">
      <alignment horizontal="left" vertical="center"/>
    </xf>
    <xf numFmtId="0" fontId="18" fillId="0" borderId="0" xfId="2" applyFont="1" applyFill="1" applyBorder="1" applyAlignment="1">
      <alignment horizontal="left" vertical="top"/>
    </xf>
    <xf numFmtId="0" fontId="18" fillId="0" borderId="11" xfId="2" applyFont="1" applyFill="1" applyBorder="1" applyAlignment="1">
      <alignment horizontal="left" vertical="top"/>
    </xf>
    <xf numFmtId="0" fontId="18" fillId="0" borderId="0" xfId="2" applyFont="1" applyFill="1" applyBorder="1" applyAlignment="1">
      <alignment vertical="top"/>
    </xf>
    <xf numFmtId="168" fontId="22" fillId="0" borderId="38" xfId="2" applyNumberFormat="1" applyFont="1" applyFill="1" applyBorder="1" applyAlignment="1" applyProtection="1">
      <alignment horizontal="center" vertical="center"/>
    </xf>
    <xf numFmtId="168" fontId="22" fillId="0" borderId="0" xfId="2" applyNumberFormat="1" applyFont="1" applyFill="1" applyBorder="1" applyAlignment="1" applyProtection="1">
      <alignment vertical="top"/>
    </xf>
    <xf numFmtId="0" fontId="18" fillId="0" borderId="0" xfId="2" applyFont="1" applyFill="1" applyBorder="1" applyAlignment="1">
      <alignment horizontal="center" vertical="top"/>
    </xf>
    <xf numFmtId="0" fontId="18" fillId="0" borderId="11" xfId="2" applyFont="1" applyFill="1" applyBorder="1" applyAlignment="1">
      <alignment vertical="top"/>
    </xf>
    <xf numFmtId="168" fontId="22" fillId="0" borderId="0" xfId="2" applyNumberFormat="1" applyFont="1" applyFill="1" applyBorder="1" applyAlignment="1" applyProtection="1">
      <alignment horizontal="left" vertical="center"/>
    </xf>
    <xf numFmtId="168" fontId="22" fillId="0" borderId="0" xfId="2" applyNumberFormat="1" applyFont="1" applyFill="1" applyBorder="1" applyAlignment="1" applyProtection="1">
      <alignment vertical="center"/>
    </xf>
    <xf numFmtId="168" fontId="22" fillId="0" borderId="39" xfId="2" applyNumberFormat="1" applyFont="1" applyFill="1" applyBorder="1" applyAlignment="1" applyProtection="1">
      <alignment vertical="center"/>
    </xf>
    <xf numFmtId="0" fontId="18" fillId="0" borderId="0" xfId="2" applyFont="1" applyFill="1" applyBorder="1" applyAlignment="1" applyProtection="1">
      <alignment vertical="center"/>
    </xf>
    <xf numFmtId="168" fontId="22" fillId="0" borderId="0" xfId="2" applyNumberFormat="1" applyFont="1" applyFill="1" applyBorder="1" applyAlignment="1" applyProtection="1">
      <alignment horizontal="left" vertical="top"/>
    </xf>
    <xf numFmtId="168" fontId="22" fillId="0" borderId="39" xfId="2" applyNumberFormat="1" applyFont="1" applyFill="1" applyBorder="1" applyAlignment="1" applyProtection="1">
      <alignment vertical="top"/>
    </xf>
    <xf numFmtId="0" fontId="18" fillId="0" borderId="11" xfId="2" applyFont="1" applyFill="1" applyBorder="1"/>
    <xf numFmtId="0" fontId="18" fillId="0" borderId="0" xfId="2" quotePrefix="1" applyFont="1" applyFill="1" applyBorder="1" applyAlignment="1">
      <alignment vertical="top"/>
    </xf>
    <xf numFmtId="0" fontId="18" fillId="0" borderId="11" xfId="2" quotePrefix="1" applyFont="1" applyFill="1" applyBorder="1" applyAlignment="1">
      <alignment vertical="top"/>
    </xf>
    <xf numFmtId="168" fontId="22" fillId="0" borderId="38" xfId="2" applyNumberFormat="1" applyFont="1" applyFill="1" applyBorder="1" applyAlignment="1" applyProtection="1">
      <alignment vertical="top"/>
    </xf>
    <xf numFmtId="0" fontId="18" fillId="0" borderId="13" xfId="2" applyFont="1" applyFill="1" applyBorder="1" applyAlignment="1">
      <alignment vertical="top"/>
    </xf>
    <xf numFmtId="0" fontId="18" fillId="0" borderId="13" xfId="2" applyFont="1" applyFill="1" applyBorder="1" applyAlignment="1">
      <alignment horizontal="center" vertical="top"/>
    </xf>
    <xf numFmtId="0" fontId="18" fillId="0" borderId="13" xfId="2" quotePrefix="1" applyFont="1" applyFill="1" applyBorder="1" applyAlignment="1">
      <alignment vertical="top"/>
    </xf>
    <xf numFmtId="0" fontId="18" fillId="0" borderId="13" xfId="2" applyFont="1" applyFill="1" applyBorder="1"/>
    <xf numFmtId="168" fontId="22" fillId="0" borderId="40" xfId="2" applyNumberFormat="1" applyFont="1" applyFill="1" applyBorder="1" applyAlignment="1" applyProtection="1">
      <alignment horizontal="center" vertical="top"/>
    </xf>
    <xf numFmtId="168" fontId="22" fillId="0" borderId="41" xfId="2" applyNumberFormat="1" applyFont="1" applyFill="1" applyBorder="1" applyAlignment="1" applyProtection="1">
      <alignment vertical="top"/>
    </xf>
    <xf numFmtId="168" fontId="22" fillId="0" borderId="13" xfId="2" applyNumberFormat="1" applyFont="1" applyFill="1" applyBorder="1" applyAlignment="1" applyProtection="1">
      <alignment vertical="top"/>
    </xf>
    <xf numFmtId="168" fontId="22" fillId="0" borderId="13" xfId="2" applyNumberFormat="1" applyFont="1" applyFill="1" applyBorder="1" applyAlignment="1" applyProtection="1">
      <alignment horizontal="left" vertical="top"/>
    </xf>
    <xf numFmtId="168" fontId="22" fillId="0" borderId="12" xfId="2" applyNumberFormat="1" applyFont="1" applyFill="1" applyBorder="1" applyAlignment="1" applyProtection="1">
      <alignment vertical="top"/>
    </xf>
    <xf numFmtId="0" fontId="18" fillId="0" borderId="13" xfId="2" applyFont="1" applyFill="1" applyBorder="1" applyAlignment="1" applyProtection="1">
      <alignment vertical="top"/>
    </xf>
    <xf numFmtId="0" fontId="18" fillId="0" borderId="14" xfId="2" applyFont="1" applyFill="1" applyBorder="1" applyAlignment="1">
      <alignment vertical="top"/>
    </xf>
    <xf numFmtId="168" fontId="21" fillId="0" borderId="40" xfId="2" applyNumberFormat="1" applyFont="1" applyFill="1" applyBorder="1" applyAlignment="1" applyProtection="1">
      <alignment horizontal="center" vertical="center"/>
    </xf>
    <xf numFmtId="168" fontId="21" fillId="0" borderId="41" xfId="2" applyNumberFormat="1" applyFont="1" applyFill="1" applyBorder="1" applyAlignment="1" applyProtection="1">
      <alignment vertical="center"/>
    </xf>
    <xf numFmtId="168" fontId="28" fillId="0" borderId="13" xfId="2" applyNumberFormat="1" applyFont="1" applyFill="1" applyBorder="1" applyAlignment="1" applyProtection="1">
      <alignment vertical="top"/>
    </xf>
    <xf numFmtId="168" fontId="21" fillId="0" borderId="13" xfId="2" applyNumberFormat="1" applyFont="1" applyFill="1" applyBorder="1" applyAlignment="1" applyProtection="1">
      <alignment horizontal="left" vertical="top"/>
    </xf>
    <xf numFmtId="168" fontId="21" fillId="0" borderId="13" xfId="2" applyNumberFormat="1" applyFont="1" applyFill="1" applyBorder="1" applyAlignment="1" applyProtection="1">
      <alignment vertical="top"/>
    </xf>
    <xf numFmtId="0" fontId="23" fillId="0" borderId="13" xfId="2" applyFont="1" applyFill="1" applyBorder="1" applyAlignment="1" applyProtection="1">
      <alignment vertical="top"/>
    </xf>
    <xf numFmtId="0" fontId="23" fillId="0" borderId="13" xfId="2" applyFont="1" applyFill="1" applyBorder="1" applyAlignment="1">
      <alignment horizontal="center" vertical="top"/>
    </xf>
    <xf numFmtId="0" fontId="23" fillId="0" borderId="13" xfId="2" applyFont="1" applyFill="1" applyBorder="1" applyAlignment="1">
      <alignment vertical="top"/>
    </xf>
    <xf numFmtId="0" fontId="23" fillId="0" borderId="14" xfId="2" applyFont="1" applyFill="1" applyBorder="1" applyAlignment="1">
      <alignment vertical="top"/>
    </xf>
    <xf numFmtId="0" fontId="23" fillId="0" borderId="0" xfId="2" applyFont="1" applyFill="1" applyBorder="1" applyAlignment="1">
      <alignment vertical="top"/>
    </xf>
    <xf numFmtId="0" fontId="23" fillId="0" borderId="0" xfId="2" applyFont="1" applyFill="1" applyBorder="1" applyAlignment="1">
      <alignment vertical="center"/>
    </xf>
    <xf numFmtId="0" fontId="23" fillId="0" borderId="0" xfId="2" applyFont="1" applyFill="1"/>
    <xf numFmtId="168" fontId="22" fillId="0" borderId="0" xfId="2" quotePrefix="1" applyNumberFormat="1" applyFont="1" applyFill="1" applyBorder="1" applyAlignment="1" applyProtection="1">
      <alignment horizontal="left" vertical="center"/>
    </xf>
    <xf numFmtId="0" fontId="18" fillId="0" borderId="0" xfId="2" applyFont="1" applyFill="1" applyBorder="1" applyAlignment="1" applyProtection="1">
      <alignment vertical="top"/>
    </xf>
    <xf numFmtId="0" fontId="18" fillId="0" borderId="0" xfId="2" quotePrefix="1" applyFont="1" applyFill="1" applyBorder="1" applyAlignment="1">
      <alignment horizontal="center" vertical="top"/>
    </xf>
    <xf numFmtId="168" fontId="22" fillId="0" borderId="42" xfId="2" applyNumberFormat="1" applyFont="1" applyFill="1" applyBorder="1" applyAlignment="1" applyProtection="1">
      <alignment vertical="top"/>
    </xf>
    <xf numFmtId="168" fontId="28" fillId="0" borderId="15" xfId="2" applyNumberFormat="1" applyFont="1" applyFill="1" applyBorder="1" applyAlignment="1" applyProtection="1">
      <alignment vertical="top"/>
    </xf>
    <xf numFmtId="168" fontId="21" fillId="0" borderId="15" xfId="2" applyNumberFormat="1" applyFont="1" applyFill="1" applyBorder="1" applyAlignment="1" applyProtection="1">
      <alignment horizontal="left" vertical="top"/>
    </xf>
    <xf numFmtId="168" fontId="21" fillId="0" borderId="15" xfId="2" applyNumberFormat="1" applyFont="1" applyFill="1" applyBorder="1" applyAlignment="1" applyProtection="1">
      <alignment vertical="top"/>
    </xf>
    <xf numFmtId="0" fontId="23" fillId="0" borderId="15" xfId="2" applyFont="1" applyFill="1" applyBorder="1" applyAlignment="1" applyProtection="1">
      <alignment vertical="top"/>
    </xf>
    <xf numFmtId="0" fontId="23" fillId="0" borderId="15" xfId="2" applyFont="1" applyFill="1" applyBorder="1" applyAlignment="1">
      <alignment horizontal="center" vertical="top"/>
    </xf>
    <xf numFmtId="0" fontId="23" fillId="0" borderId="15" xfId="2" applyFont="1" applyFill="1" applyBorder="1" applyAlignment="1">
      <alignment vertical="top"/>
    </xf>
    <xf numFmtId="0" fontId="23" fillId="0" borderId="6" xfId="2" applyFont="1" applyFill="1" applyBorder="1" applyAlignment="1">
      <alignment vertical="top"/>
    </xf>
    <xf numFmtId="0" fontId="18" fillId="0" borderId="39" xfId="2" applyFont="1" applyFill="1" applyBorder="1" applyAlignment="1">
      <alignment vertical="top"/>
    </xf>
    <xf numFmtId="168" fontId="22" fillId="0" borderId="0" xfId="2" quotePrefix="1" applyNumberFormat="1" applyFont="1" applyFill="1" applyBorder="1" applyAlignment="1" applyProtection="1">
      <alignment vertical="top"/>
    </xf>
    <xf numFmtId="0" fontId="18" fillId="0" borderId="11" xfId="2" quotePrefix="1" applyFont="1" applyFill="1" applyBorder="1" applyAlignment="1">
      <alignment horizontal="center" vertical="top"/>
    </xf>
    <xf numFmtId="168" fontId="22" fillId="0" borderId="43" xfId="2" applyNumberFormat="1" applyFont="1" applyFill="1" applyBorder="1" applyAlignment="1" applyProtection="1">
      <alignment horizontal="center" vertical="top"/>
    </xf>
    <xf numFmtId="168" fontId="22" fillId="0" borderId="44" xfId="2" applyNumberFormat="1" applyFont="1" applyFill="1" applyBorder="1" applyAlignment="1" applyProtection="1">
      <alignment horizontal="center" vertical="top"/>
    </xf>
    <xf numFmtId="0" fontId="20" fillId="0" borderId="0" xfId="2" applyFont="1" applyFill="1" applyAlignment="1">
      <alignment vertical="center" wrapText="1"/>
    </xf>
    <xf numFmtId="0" fontId="29" fillId="0" borderId="0" xfId="2" applyFont="1" applyFill="1" applyAlignment="1">
      <alignment horizontal="center" vertical="center" wrapText="1"/>
    </xf>
    <xf numFmtId="0" fontId="12" fillId="0" borderId="0" xfId="0" applyFont="1" applyAlignment="1"/>
    <xf numFmtId="0" fontId="14" fillId="0" borderId="0" xfId="2" applyFont="1" applyFill="1" applyAlignment="1">
      <alignment horizontal="left" vertical="center"/>
    </xf>
    <xf numFmtId="0" fontId="12" fillId="0" borderId="0" xfId="0" applyFont="1" applyFill="1" applyBorder="1" applyAlignment="1">
      <alignment horizontal="center"/>
    </xf>
    <xf numFmtId="0" fontId="12" fillId="0" borderId="0" xfId="0" applyFont="1" applyFill="1" applyBorder="1" applyAlignment="1">
      <alignment horizontal="left"/>
    </xf>
    <xf numFmtId="0" fontId="14" fillId="0" borderId="0" xfId="2" applyFont="1" applyFill="1" applyBorder="1" applyAlignment="1">
      <alignment horizontal="left" vertical="center"/>
    </xf>
    <xf numFmtId="0" fontId="12" fillId="0" borderId="0" xfId="0" applyFont="1" applyBorder="1" applyAlignment="1"/>
    <xf numFmtId="0" fontId="12" fillId="0" borderId="13" xfId="0" applyFont="1" applyBorder="1" applyAlignment="1"/>
    <xf numFmtId="0" fontId="13" fillId="0" borderId="0" xfId="2" applyFont="1" applyFill="1" applyAlignment="1">
      <alignment horizontal="left" vertical="center"/>
    </xf>
    <xf numFmtId="0" fontId="1" fillId="0" borderId="0" xfId="0" applyFont="1" applyFill="1" applyBorder="1" applyAlignment="1"/>
    <xf numFmtId="0" fontId="13" fillId="0" borderId="0" xfId="2" applyFont="1" applyFill="1" applyBorder="1" applyAlignment="1">
      <alignment vertical="center"/>
    </xf>
    <xf numFmtId="0" fontId="2" fillId="0" borderId="12" xfId="0" applyFont="1" applyBorder="1" applyAlignment="1">
      <alignment horizontal="center"/>
    </xf>
    <xf numFmtId="0" fontId="0" fillId="0" borderId="1" xfId="0" applyBorder="1" applyAlignment="1">
      <alignment horizontal="center" vertical="center"/>
    </xf>
    <xf numFmtId="0" fontId="31" fillId="0" borderId="0" xfId="0" applyFont="1" applyAlignment="1">
      <alignment horizontal="center" wrapText="1"/>
    </xf>
    <xf numFmtId="2" fontId="0" fillId="0" borderId="0" xfId="0" applyNumberFormat="1"/>
    <xf numFmtId="2" fontId="1" fillId="0" borderId="0" xfId="0" applyNumberFormat="1" applyFont="1"/>
    <xf numFmtId="0" fontId="13" fillId="0" borderId="5" xfId="0" quotePrefix="1" applyFont="1" applyBorder="1" applyAlignment="1">
      <alignment horizontal="left" wrapText="1"/>
    </xf>
    <xf numFmtId="0" fontId="13" fillId="0" borderId="15" xfId="0" quotePrefix="1" applyFont="1" applyBorder="1" applyAlignment="1">
      <alignment horizontal="left" wrapText="1"/>
    </xf>
    <xf numFmtId="0" fontId="13" fillId="0" borderId="6" xfId="0" quotePrefix="1" applyFont="1" applyBorder="1" applyAlignment="1">
      <alignment horizontal="left" wrapText="1"/>
    </xf>
    <xf numFmtId="2" fontId="14" fillId="0" borderId="6" xfId="0" applyNumberFormat="1" applyFont="1" applyBorder="1" applyAlignment="1">
      <alignment horizontal="right" vertical="top"/>
    </xf>
    <xf numFmtId="2" fontId="13" fillId="0" borderId="26" xfId="0" applyNumberFormat="1" applyFont="1" applyBorder="1" applyAlignment="1">
      <alignment vertical="center"/>
    </xf>
    <xf numFmtId="2" fontId="14" fillId="0" borderId="26" xfId="0" applyNumberFormat="1" applyFont="1" applyBorder="1" applyAlignment="1">
      <alignment vertical="center"/>
    </xf>
    <xf numFmtId="2" fontId="13" fillId="0" borderId="26" xfId="0" applyNumberFormat="1" applyFont="1" applyBorder="1" applyAlignment="1">
      <alignment horizontal="right" vertical="top"/>
    </xf>
    <xf numFmtId="2" fontId="13" fillId="0" borderId="26" xfId="0" applyNumberFormat="1" applyFont="1" applyBorder="1" applyAlignment="1">
      <alignment horizontal="center" vertical="top"/>
    </xf>
    <xf numFmtId="2" fontId="13" fillId="0" borderId="26" xfId="0" applyNumberFormat="1" applyFont="1" applyFill="1" applyBorder="1" applyAlignment="1">
      <alignment vertical="center"/>
    </xf>
    <xf numFmtId="2" fontId="13" fillId="0" borderId="1" xfId="0" applyNumberFormat="1" applyFont="1" applyBorder="1" applyAlignment="1">
      <alignment horizontal="right" vertical="top"/>
    </xf>
    <xf numFmtId="2" fontId="13" fillId="0" borderId="1" xfId="0" applyNumberFormat="1" applyFont="1" applyFill="1" applyBorder="1" applyAlignment="1">
      <alignment vertical="center"/>
    </xf>
    <xf numFmtId="2" fontId="14" fillId="7" borderId="1" xfId="0" applyNumberFormat="1" applyFont="1" applyFill="1" applyBorder="1" applyAlignment="1">
      <alignment horizontal="right" vertical="top"/>
    </xf>
    <xf numFmtId="0" fontId="2" fillId="0" borderId="0"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5" xfId="0" applyFont="1" applyBorder="1" applyAlignment="1">
      <alignment horizontal="left" vertical="center"/>
    </xf>
    <xf numFmtId="0" fontId="2" fillId="0" borderId="15" xfId="0" applyFont="1" applyBorder="1" applyAlignment="1">
      <alignment horizontal="center" vertical="center" wrapText="1"/>
    </xf>
    <xf numFmtId="0" fontId="2" fillId="0" borderId="6" xfId="0" applyFont="1" applyBorder="1" applyAlignment="1">
      <alignment horizontal="center" vertical="center" wrapText="1"/>
    </xf>
    <xf numFmtId="0" fontId="13" fillId="0" borderId="0" xfId="0" applyFont="1" applyAlignment="1">
      <alignment horizontal="center"/>
    </xf>
    <xf numFmtId="2" fontId="13" fillId="0" borderId="2" xfId="0" applyNumberFormat="1" applyFont="1" applyBorder="1" applyAlignment="1">
      <alignment vertical="top"/>
    </xf>
    <xf numFmtId="2" fontId="13" fillId="0" borderId="44" xfId="0" applyNumberFormat="1" applyFont="1" applyBorder="1" applyAlignment="1">
      <alignment vertical="top"/>
    </xf>
    <xf numFmtId="0" fontId="13" fillId="0" borderId="50" xfId="0" applyFont="1" applyBorder="1" applyAlignment="1">
      <alignment horizontal="center" vertical="center" wrapText="1"/>
    </xf>
    <xf numFmtId="0" fontId="13" fillId="0" borderId="51" xfId="0" applyFont="1" applyBorder="1" applyAlignment="1">
      <alignment horizontal="center" vertical="center" wrapText="1"/>
    </xf>
    <xf numFmtId="0" fontId="13" fillId="0" borderId="52" xfId="0" applyFont="1" applyBorder="1" applyAlignment="1">
      <alignment horizontal="center" vertical="center" wrapText="1"/>
    </xf>
    <xf numFmtId="0" fontId="13" fillId="0" borderId="0" xfId="0" applyFont="1" applyBorder="1" applyAlignment="1"/>
    <xf numFmtId="0" fontId="0" fillId="4" borderId="0" xfId="0" applyFill="1"/>
    <xf numFmtId="2" fontId="14" fillId="0" borderId="49" xfId="0" applyNumberFormat="1" applyFont="1" applyBorder="1" applyAlignment="1">
      <alignment horizontal="center" vertical="top"/>
    </xf>
    <xf numFmtId="2" fontId="13" fillId="0" borderId="49" xfId="0" applyNumberFormat="1" applyFont="1" applyBorder="1" applyAlignment="1">
      <alignment horizontal="center" vertical="top"/>
    </xf>
    <xf numFmtId="2" fontId="13" fillId="0" borderId="49" xfId="0" applyNumberFormat="1" applyFont="1" applyBorder="1" applyAlignment="1">
      <alignment vertical="center"/>
    </xf>
    <xf numFmtId="2" fontId="14" fillId="0" borderId="49" xfId="0" applyNumberFormat="1" applyFont="1" applyBorder="1" applyAlignment="1">
      <alignment vertical="center"/>
    </xf>
    <xf numFmtId="2" fontId="14" fillId="0" borderId="5" xfId="0" applyNumberFormat="1" applyFont="1" applyBorder="1" applyAlignment="1">
      <alignment horizontal="right" vertical="top"/>
    </xf>
    <xf numFmtId="2" fontId="14" fillId="0" borderId="2" xfId="0" applyNumberFormat="1" applyFont="1" applyBorder="1" applyAlignment="1">
      <alignment vertical="center"/>
    </xf>
    <xf numFmtId="0" fontId="0" fillId="0" borderId="0" xfId="0" applyAlignment="1">
      <alignment vertical="center"/>
    </xf>
    <xf numFmtId="0" fontId="10" fillId="0" borderId="49" xfId="0" applyFont="1" applyBorder="1" applyAlignment="1">
      <alignment horizontal="center" vertical="center" wrapText="1"/>
    </xf>
    <xf numFmtId="0" fontId="0" fillId="0" borderId="0" xfId="0" applyBorder="1" applyAlignment="1">
      <alignment vertical="center"/>
    </xf>
    <xf numFmtId="0" fontId="13" fillId="8" borderId="50" xfId="0" applyFont="1" applyFill="1" applyBorder="1" applyAlignment="1">
      <alignment horizontal="center" vertical="center" wrapText="1"/>
    </xf>
    <xf numFmtId="0" fontId="13" fillId="8" borderId="52" xfId="0" applyFont="1" applyFill="1" applyBorder="1" applyAlignment="1">
      <alignment horizontal="center" vertical="center" wrapText="1"/>
    </xf>
    <xf numFmtId="2" fontId="14" fillId="8" borderId="18" xfId="0" applyNumberFormat="1" applyFont="1" applyFill="1" applyBorder="1" applyAlignment="1">
      <alignment vertical="center"/>
    </xf>
    <xf numFmtId="165" fontId="14" fillId="8" borderId="19" xfId="1" applyNumberFormat="1" applyFont="1" applyFill="1" applyBorder="1" applyAlignment="1">
      <alignment horizontal="right" vertical="center"/>
    </xf>
    <xf numFmtId="2" fontId="13" fillId="8" borderId="16" xfId="0" applyNumberFormat="1" applyFont="1" applyFill="1" applyBorder="1" applyAlignment="1">
      <alignment vertical="center"/>
    </xf>
    <xf numFmtId="2" fontId="13" fillId="8" borderId="17" xfId="0" applyNumberFormat="1" applyFont="1" applyFill="1" applyBorder="1" applyAlignment="1">
      <alignment vertical="center"/>
    </xf>
    <xf numFmtId="2" fontId="14" fillId="8" borderId="16" xfId="0" applyNumberFormat="1" applyFont="1" applyFill="1" applyBorder="1" applyAlignment="1">
      <alignment vertical="center"/>
    </xf>
    <xf numFmtId="2" fontId="14" fillId="8" borderId="17" xfId="0" applyNumberFormat="1" applyFont="1" applyFill="1" applyBorder="1" applyAlignment="1">
      <alignment vertical="center"/>
    </xf>
    <xf numFmtId="0" fontId="0" fillId="0" borderId="2" xfId="0" applyFill="1" applyBorder="1" applyAlignment="1"/>
    <xf numFmtId="2" fontId="14" fillId="7" borderId="26" xfId="0" applyNumberFormat="1" applyFont="1" applyFill="1" applyBorder="1" applyAlignment="1">
      <alignment horizontal="right" vertical="top"/>
    </xf>
    <xf numFmtId="0" fontId="0" fillId="0" borderId="2" xfId="0" applyFill="1" applyBorder="1" applyAlignment="1">
      <alignment vertical="center"/>
    </xf>
    <xf numFmtId="2" fontId="16" fillId="0" borderId="16" xfId="0" applyNumberFormat="1" applyFont="1" applyFill="1" applyBorder="1" applyAlignment="1">
      <alignment horizontal="center" vertical="top"/>
    </xf>
    <xf numFmtId="2" fontId="14" fillId="0" borderId="18" xfId="0" applyNumberFormat="1" applyFont="1" applyFill="1" applyBorder="1" applyAlignment="1">
      <alignment vertical="center"/>
    </xf>
    <xf numFmtId="2" fontId="13" fillId="0" borderId="16" xfId="0" applyNumberFormat="1" applyFont="1" applyFill="1" applyBorder="1" applyAlignment="1">
      <alignment vertical="center"/>
    </xf>
    <xf numFmtId="2" fontId="13" fillId="0" borderId="17" xfId="0" applyNumberFormat="1" applyFont="1" applyFill="1" applyBorder="1" applyAlignment="1">
      <alignment vertical="center"/>
    </xf>
    <xf numFmtId="2" fontId="14" fillId="0" borderId="5" xfId="0" applyNumberFormat="1" applyFont="1" applyBorder="1" applyAlignment="1">
      <alignment horizontal="center" vertical="top"/>
    </xf>
    <xf numFmtId="2" fontId="14" fillId="0" borderId="6" xfId="0" applyNumberFormat="1" applyFont="1" applyBorder="1" applyAlignment="1">
      <alignment vertical="top"/>
    </xf>
    <xf numFmtId="2" fontId="14" fillId="0" borderId="49" xfId="0" applyNumberFormat="1" applyFont="1" applyBorder="1" applyAlignment="1">
      <alignment vertical="top"/>
    </xf>
    <xf numFmtId="0" fontId="0" fillId="8" borderId="0" xfId="0" applyFill="1"/>
    <xf numFmtId="0" fontId="0" fillId="8" borderId="0" xfId="0" applyFill="1" applyAlignment="1"/>
    <xf numFmtId="0" fontId="0" fillId="9" borderId="0" xfId="0" applyFill="1"/>
    <xf numFmtId="0" fontId="0" fillId="4" borderId="0" xfId="0" applyFill="1" applyAlignment="1"/>
    <xf numFmtId="0" fontId="6" fillId="0" borderId="0" xfId="0" applyFont="1"/>
    <xf numFmtId="0" fontId="6" fillId="0" borderId="0" xfId="0" applyFont="1" applyAlignment="1">
      <alignment vertical="top"/>
    </xf>
    <xf numFmtId="0" fontId="6" fillId="0" borderId="0" xfId="0" applyFont="1" applyAlignment="1">
      <alignment horizontal="left" vertical="top"/>
    </xf>
    <xf numFmtId="0" fontId="0" fillId="2" borderId="0" xfId="0" applyFill="1" applyAlignment="1">
      <alignment wrapText="1"/>
    </xf>
    <xf numFmtId="0" fontId="0" fillId="3" borderId="0" xfId="0" applyFill="1" applyAlignment="1">
      <alignment wrapText="1"/>
    </xf>
    <xf numFmtId="0" fontId="0" fillId="10" borderId="0" xfId="0" applyFill="1" applyAlignment="1">
      <alignment horizontal="right"/>
    </xf>
    <xf numFmtId="0" fontId="0" fillId="10" borderId="0" xfId="0" applyFill="1"/>
    <xf numFmtId="0" fontId="0" fillId="0" borderId="49" xfId="0" applyFont="1" applyBorder="1" applyAlignment="1">
      <alignment horizontal="center" vertical="center" wrapText="1"/>
    </xf>
    <xf numFmtId="0" fontId="0" fillId="0" borderId="49" xfId="0" applyBorder="1" applyAlignment="1">
      <alignment horizontal="center" vertical="center" wrapText="1"/>
    </xf>
    <xf numFmtId="0" fontId="1" fillId="0" borderId="2" xfId="0" applyFont="1" applyBorder="1" applyAlignment="1">
      <alignment vertical="center"/>
    </xf>
    <xf numFmtId="0" fontId="1" fillId="0" borderId="49" xfId="0" applyFont="1" applyBorder="1" applyAlignment="1">
      <alignment vertical="center" wrapText="1"/>
    </xf>
    <xf numFmtId="0" fontId="0" fillId="0" borderId="8" xfId="0" applyFill="1" applyBorder="1" applyAlignment="1">
      <alignment wrapText="1"/>
    </xf>
    <xf numFmtId="0" fontId="4" fillId="0" borderId="5" xfId="0" applyFont="1" applyFill="1" applyBorder="1" applyAlignment="1">
      <alignment horizontal="center" vertical="center"/>
    </xf>
    <xf numFmtId="0" fontId="0" fillId="0" borderId="44" xfId="0" applyFill="1" applyBorder="1" applyAlignment="1">
      <alignment vertical="center"/>
    </xf>
    <xf numFmtId="0" fontId="0" fillId="0" borderId="42" xfId="0" applyFill="1" applyBorder="1" applyAlignment="1">
      <alignment wrapText="1"/>
    </xf>
    <xf numFmtId="0" fontId="4" fillId="0" borderId="13" xfId="0" applyFont="1" applyFill="1" applyBorder="1" applyAlignment="1">
      <alignment horizontal="center" vertical="center"/>
    </xf>
    <xf numFmtId="0" fontId="4" fillId="0" borderId="42" xfId="0" applyFont="1" applyFill="1" applyBorder="1" applyAlignment="1">
      <alignment horizontal="center" vertical="center"/>
    </xf>
    <xf numFmtId="0" fontId="4" fillId="0" borderId="49" xfId="0" applyFont="1" applyBorder="1" applyAlignment="1">
      <alignment vertical="center" wrapText="1"/>
    </xf>
    <xf numFmtId="0" fontId="5" fillId="3" borderId="44" xfId="0" applyFont="1" applyFill="1" applyBorder="1" applyAlignment="1">
      <alignment horizontal="center" vertical="center" wrapText="1"/>
    </xf>
    <xf numFmtId="9" fontId="4" fillId="0" borderId="49" xfId="0" applyNumberFormat="1" applyFont="1" applyBorder="1" applyAlignment="1">
      <alignment horizontal="center" vertical="center" wrapText="1"/>
    </xf>
    <xf numFmtId="0" fontId="6" fillId="0" borderId="0" xfId="0" applyFont="1" applyFill="1" applyBorder="1" applyAlignment="1">
      <alignment wrapText="1"/>
    </xf>
    <xf numFmtId="0" fontId="0" fillId="8" borderId="0" xfId="0" applyFill="1" applyAlignment="1">
      <alignment horizontal="center"/>
    </xf>
    <xf numFmtId="0" fontId="0" fillId="0" borderId="0" xfId="0" applyBorder="1" applyAlignment="1">
      <alignment horizontal="center" vertical="center" wrapText="1"/>
    </xf>
    <xf numFmtId="0" fontId="0" fillId="0" borderId="0" xfId="0" applyBorder="1" applyAlignment="1">
      <alignment horizontal="center" vertical="center" wrapText="1"/>
    </xf>
    <xf numFmtId="0" fontId="34" fillId="0" borderId="0" xfId="2" applyFont="1" applyBorder="1" applyAlignment="1">
      <alignment vertical="center"/>
    </xf>
    <xf numFmtId="0" fontId="34" fillId="0" borderId="0" xfId="2" applyFont="1" applyAlignment="1">
      <alignment horizontal="center" vertical="center"/>
    </xf>
    <xf numFmtId="0" fontId="34" fillId="0" borderId="0" xfId="2" applyFont="1" applyAlignment="1">
      <alignment vertical="center"/>
    </xf>
    <xf numFmtId="0" fontId="35" fillId="0" borderId="0" xfId="2" applyFont="1" applyFill="1" applyBorder="1" applyAlignment="1">
      <alignment horizontal="center" vertical="center"/>
    </xf>
    <xf numFmtId="0" fontId="35" fillId="0" borderId="0" xfId="2" applyFont="1" applyFill="1" applyAlignment="1">
      <alignment vertical="center"/>
    </xf>
    <xf numFmtId="0" fontId="35" fillId="0" borderId="0" xfId="2" applyFont="1" applyFill="1"/>
    <xf numFmtId="0" fontId="35" fillId="0" borderId="0" xfId="2" applyFont="1" applyFill="1" applyBorder="1" applyAlignment="1">
      <alignment vertical="center"/>
    </xf>
    <xf numFmtId="0" fontId="35" fillId="0" borderId="1" xfId="2" applyFont="1" applyFill="1" applyBorder="1" applyAlignment="1">
      <alignment horizontal="center" vertical="center"/>
    </xf>
    <xf numFmtId="0" fontId="35" fillId="0" borderId="42" xfId="2" applyFont="1" applyFill="1" applyBorder="1" applyAlignment="1">
      <alignment horizontal="center" vertical="center"/>
    </xf>
    <xf numFmtId="0" fontId="35" fillId="0" borderId="5" xfId="2" applyFont="1" applyFill="1" applyBorder="1" applyAlignment="1">
      <alignment horizontal="center" vertical="center"/>
    </xf>
    <xf numFmtId="0" fontId="35" fillId="0" borderId="15" xfId="2" applyFont="1" applyFill="1" applyBorder="1" applyAlignment="1">
      <alignment horizontal="center" vertical="center"/>
    </xf>
    <xf numFmtId="0" fontId="35" fillId="0" borderId="15" xfId="2" applyFont="1" applyFill="1" applyBorder="1" applyAlignment="1">
      <alignment vertical="center"/>
    </xf>
    <xf numFmtId="0" fontId="35" fillId="0" borderId="6" xfId="2" applyFont="1" applyFill="1" applyBorder="1" applyAlignment="1">
      <alignment vertical="center"/>
    </xf>
    <xf numFmtId="0" fontId="36" fillId="0" borderId="1" xfId="2" applyFont="1" applyFill="1" applyBorder="1" applyAlignment="1">
      <alignment horizontal="center" vertical="center"/>
    </xf>
    <xf numFmtId="0" fontId="35" fillId="0" borderId="2" xfId="2" applyFont="1" applyFill="1" applyBorder="1" applyAlignment="1">
      <alignment horizontal="center" vertical="center"/>
    </xf>
    <xf numFmtId="0" fontId="40" fillId="0" borderId="2" xfId="2" applyFont="1" applyBorder="1" applyAlignment="1">
      <alignment horizontal="center" vertical="center"/>
    </xf>
    <xf numFmtId="0" fontId="35" fillId="0" borderId="1" xfId="2" applyNumberFormat="1" applyFont="1" applyFill="1" applyBorder="1" applyAlignment="1">
      <alignment horizontal="center" vertical="center"/>
    </xf>
    <xf numFmtId="0" fontId="35" fillId="0" borderId="1" xfId="2" applyFont="1" applyFill="1" applyBorder="1" applyAlignment="1">
      <alignment horizontal="center" vertical="center" wrapText="1"/>
    </xf>
    <xf numFmtId="0" fontId="35" fillId="0" borderId="1" xfId="2" applyFont="1" applyFill="1" applyBorder="1" applyAlignment="1">
      <alignment horizontal="center"/>
    </xf>
    <xf numFmtId="0" fontId="35" fillId="0" borderId="0" xfId="2" applyFont="1" applyFill="1" applyAlignment="1">
      <alignment horizontal="center"/>
    </xf>
    <xf numFmtId="0" fontId="35" fillId="0" borderId="43" xfId="2" applyFont="1" applyFill="1" applyBorder="1" applyAlignment="1">
      <alignment horizontal="center" vertical="center"/>
    </xf>
    <xf numFmtId="0" fontId="39" fillId="0" borderId="2" xfId="2" applyFont="1" applyBorder="1" applyAlignment="1">
      <alignment horizontal="center" vertical="center"/>
    </xf>
    <xf numFmtId="0" fontId="34" fillId="0" borderId="43" xfId="2" applyFont="1" applyBorder="1" applyAlignment="1">
      <alignment vertical="center"/>
    </xf>
    <xf numFmtId="0" fontId="34" fillId="0" borderId="1" xfId="2" applyFont="1" applyBorder="1" applyAlignment="1">
      <alignment horizontal="center" vertical="center"/>
    </xf>
    <xf numFmtId="0" fontId="39" fillId="0" borderId="1" xfId="2" applyFont="1" applyBorder="1" applyAlignment="1">
      <alignment horizontal="center" vertical="center"/>
    </xf>
    <xf numFmtId="0" fontId="34" fillId="0" borderId="1" xfId="2" applyFont="1" applyBorder="1"/>
    <xf numFmtId="0" fontId="34" fillId="0" borderId="0" xfId="2" applyFont="1"/>
    <xf numFmtId="0" fontId="34" fillId="0" borderId="43" xfId="2" applyFont="1" applyBorder="1" applyAlignment="1">
      <alignment horizontal="center" vertical="center"/>
    </xf>
    <xf numFmtId="0" fontId="34" fillId="0" borderId="11" xfId="2" applyFont="1" applyBorder="1" applyAlignment="1">
      <alignment vertical="center" wrapText="1"/>
    </xf>
    <xf numFmtId="0" fontId="34" fillId="0" borderId="5" xfId="2" applyFont="1" applyBorder="1" applyAlignment="1">
      <alignment vertical="center"/>
    </xf>
    <xf numFmtId="0" fontId="34" fillId="0" borderId="15" xfId="2" applyFont="1" applyBorder="1" applyAlignment="1">
      <alignment vertical="center"/>
    </xf>
    <xf numFmtId="0" fontId="34" fillId="0" borderId="6" xfId="2" applyFont="1" applyBorder="1" applyAlignment="1">
      <alignment vertical="center"/>
    </xf>
    <xf numFmtId="0" fontId="34" fillId="0" borderId="2" xfId="2" applyFont="1" applyBorder="1" applyAlignment="1">
      <alignment horizontal="center" vertical="center"/>
    </xf>
    <xf numFmtId="0" fontId="34" fillId="0" borderId="44" xfId="2" applyFont="1" applyBorder="1" applyAlignment="1">
      <alignment vertical="center"/>
    </xf>
    <xf numFmtId="0" fontId="34" fillId="0" borderId="1" xfId="2" applyFont="1" applyBorder="1" applyAlignment="1">
      <alignment horizontal="center" vertical="center" wrapText="1"/>
    </xf>
    <xf numFmtId="0" fontId="36" fillId="0" borderId="43" xfId="2" applyFont="1" applyBorder="1" applyAlignment="1">
      <alignment horizontal="center" vertical="center"/>
    </xf>
    <xf numFmtId="0" fontId="35" fillId="0" borderId="43" xfId="2" applyFont="1" applyBorder="1" applyAlignment="1">
      <alignment horizontal="center" vertical="top"/>
    </xf>
    <xf numFmtId="0" fontId="35" fillId="0" borderId="2" xfId="2" applyFont="1" applyBorder="1" applyAlignment="1">
      <alignment horizontal="center" vertical="top" wrapText="1"/>
    </xf>
    <xf numFmtId="0" fontId="34" fillId="0" borderId="6" xfId="2" quotePrefix="1" applyFont="1" applyBorder="1" applyAlignment="1">
      <alignment horizontal="center" vertical="center" wrapText="1"/>
    </xf>
    <xf numFmtId="0" fontId="34" fillId="0" borderId="0" xfId="2" applyFont="1" applyAlignment="1"/>
    <xf numFmtId="0" fontId="35" fillId="0" borderId="44" xfId="2" applyFont="1" applyBorder="1" applyAlignment="1">
      <alignment horizontal="center" vertical="top"/>
    </xf>
    <xf numFmtId="0" fontId="35" fillId="0" borderId="42" xfId="2" applyFont="1" applyBorder="1" applyAlignment="1">
      <alignment horizontal="center" vertical="top" wrapText="1"/>
    </xf>
    <xf numFmtId="0" fontId="38" fillId="0" borderId="5" xfId="2" applyFont="1" applyBorder="1" applyAlignment="1">
      <alignment vertical="top"/>
    </xf>
    <xf numFmtId="0" fontId="41" fillId="0" borderId="1" xfId="2" applyFont="1" applyBorder="1" applyAlignment="1">
      <alignment vertical="top"/>
    </xf>
    <xf numFmtId="0" fontId="35" fillId="0" borderId="2" xfId="2" applyFont="1" applyBorder="1" applyAlignment="1">
      <alignment horizontal="center" vertical="top"/>
    </xf>
    <xf numFmtId="0" fontId="35" fillId="0" borderId="6" xfId="2" applyFont="1" applyBorder="1" applyAlignment="1">
      <alignment horizontal="center" vertical="center" wrapText="1"/>
    </xf>
    <xf numFmtId="0" fontId="34" fillId="0" borderId="6" xfId="2" applyFont="1" applyBorder="1" applyAlignment="1">
      <alignment horizontal="center" vertical="center" wrapText="1"/>
    </xf>
    <xf numFmtId="0" fontId="35" fillId="0" borderId="8" xfId="2" applyFont="1" applyBorder="1" applyAlignment="1">
      <alignment horizontal="center" vertical="center" wrapText="1"/>
    </xf>
    <xf numFmtId="0" fontId="35" fillId="0" borderId="5" xfId="2" applyFont="1" applyBorder="1" applyAlignment="1">
      <alignment vertical="center" wrapText="1"/>
    </xf>
    <xf numFmtId="0" fontId="42" fillId="6" borderId="43" xfId="2" applyFont="1" applyFill="1" applyBorder="1" applyAlignment="1">
      <alignment horizontal="center" vertical="top" wrapText="1"/>
    </xf>
    <xf numFmtId="0" fontId="35" fillId="0" borderId="43" xfId="2" applyFont="1" applyBorder="1" applyAlignment="1">
      <alignment horizontal="center" vertical="top" wrapText="1"/>
    </xf>
    <xf numFmtId="0" fontId="39" fillId="6" borderId="1" xfId="2" applyFont="1" applyFill="1" applyBorder="1" applyAlignment="1">
      <alignment horizontal="center" vertical="center" wrapText="1"/>
    </xf>
    <xf numFmtId="0" fontId="35" fillId="0" borderId="44" xfId="2" applyFont="1" applyBorder="1" applyAlignment="1">
      <alignment horizontal="center" vertical="center" wrapText="1"/>
    </xf>
    <xf numFmtId="0" fontId="39" fillId="6" borderId="43" xfId="2" applyFont="1" applyFill="1" applyBorder="1" applyAlignment="1">
      <alignment horizontal="center" vertical="top" wrapText="1"/>
    </xf>
    <xf numFmtId="0" fontId="35" fillId="0" borderId="43" xfId="2" applyFont="1" applyBorder="1" applyAlignment="1">
      <alignment horizontal="center" vertical="center" wrapText="1"/>
    </xf>
    <xf numFmtId="0" fontId="35" fillId="0" borderId="2" xfId="2" applyFont="1" applyBorder="1" applyAlignment="1">
      <alignment horizontal="center" vertical="center" wrapText="1"/>
    </xf>
    <xf numFmtId="0" fontId="35" fillId="0" borderId="43" xfId="2" applyFont="1" applyBorder="1" applyAlignment="1">
      <alignment vertical="center" wrapText="1"/>
    </xf>
    <xf numFmtId="0" fontId="35" fillId="0" borderId="1" xfId="2" applyFont="1" applyBorder="1" applyAlignment="1">
      <alignment horizontal="center" vertical="center" wrapText="1"/>
    </xf>
    <xf numFmtId="0" fontId="39" fillId="6" borderId="43" xfId="2" applyFont="1" applyFill="1" applyBorder="1" applyAlignment="1">
      <alignment vertical="center" wrapText="1"/>
    </xf>
    <xf numFmtId="0" fontId="35" fillId="0" borderId="44" xfId="2" applyFont="1" applyBorder="1" applyAlignment="1">
      <alignment vertical="center" wrapText="1"/>
    </xf>
    <xf numFmtId="0" fontId="39" fillId="6" borderId="5" xfId="2" applyFont="1" applyFill="1" applyBorder="1" applyAlignment="1">
      <alignment vertical="center" wrapText="1"/>
    </xf>
    <xf numFmtId="0" fontId="39" fillId="6" borderId="1" xfId="2" applyFont="1" applyFill="1" applyBorder="1" applyAlignment="1">
      <alignment vertical="center" wrapText="1"/>
    </xf>
    <xf numFmtId="0" fontId="35" fillId="0" borderId="5" xfId="2" applyFont="1" applyFill="1" applyBorder="1" applyAlignment="1">
      <alignment vertical="center"/>
    </xf>
    <xf numFmtId="0" fontId="35" fillId="0" borderId="1" xfId="2" applyFont="1" applyFill="1" applyBorder="1" applyAlignment="1">
      <alignment vertical="center"/>
    </xf>
    <xf numFmtId="0" fontId="39" fillId="6" borderId="43" xfId="2" applyFont="1" applyFill="1" applyBorder="1" applyAlignment="1">
      <alignment horizontal="center" vertical="top"/>
    </xf>
    <xf numFmtId="0" fontId="39" fillId="6" borderId="5" xfId="2" applyFont="1" applyFill="1" applyBorder="1" applyAlignment="1">
      <alignment horizontal="center" vertical="center" wrapText="1"/>
    </xf>
    <xf numFmtId="0" fontId="35" fillId="0" borderId="5" xfId="2" applyFont="1" applyBorder="1" applyAlignment="1">
      <alignment horizontal="left" vertical="center" wrapText="1"/>
    </xf>
    <xf numFmtId="0" fontId="35" fillId="0" borderId="1" xfId="2" applyFont="1" applyBorder="1" applyAlignment="1">
      <alignment horizontal="center" vertical="top" wrapText="1"/>
    </xf>
    <xf numFmtId="0" fontId="39" fillId="6" borderId="43" xfId="2" applyFont="1" applyFill="1" applyBorder="1" applyAlignment="1">
      <alignment horizontal="center" vertical="center" wrapText="1"/>
    </xf>
    <xf numFmtId="0" fontId="34" fillId="0" borderId="1" xfId="2" applyFont="1" applyBorder="1" applyAlignment="1">
      <alignment vertical="center"/>
    </xf>
    <xf numFmtId="0" fontId="39" fillId="6" borderId="43" xfId="2" applyFont="1" applyFill="1" applyBorder="1" applyAlignment="1">
      <alignment horizontal="left" vertical="top" wrapText="1"/>
    </xf>
    <xf numFmtId="0" fontId="39" fillId="6" borderId="5" xfId="2" applyFont="1" applyFill="1" applyBorder="1" applyAlignment="1">
      <alignment horizontal="left" vertical="center" wrapText="1"/>
    </xf>
    <xf numFmtId="0" fontId="34" fillId="0" borderId="1" xfId="2" applyFont="1" applyBorder="1" applyAlignment="1">
      <alignment horizontal="left" vertical="center" wrapText="1"/>
    </xf>
    <xf numFmtId="0" fontId="39" fillId="0" borderId="1" xfId="2" applyFont="1" applyBorder="1" applyAlignment="1">
      <alignment horizontal="left" vertical="center"/>
    </xf>
    <xf numFmtId="0" fontId="34" fillId="0" borderId="1" xfId="2" applyFont="1" applyBorder="1" applyAlignment="1">
      <alignment horizontal="left"/>
    </xf>
    <xf numFmtId="0" fontId="34" fillId="0" borderId="0" xfId="2" applyFont="1" applyAlignment="1">
      <alignment horizontal="left"/>
    </xf>
    <xf numFmtId="0" fontId="39" fillId="6" borderId="43" xfId="2" quotePrefix="1" applyFont="1" applyFill="1" applyBorder="1" applyAlignment="1">
      <alignment horizontal="center" vertical="top" wrapText="1"/>
    </xf>
    <xf numFmtId="0" fontId="35" fillId="6" borderId="8" xfId="2" applyFont="1" applyFill="1" applyBorder="1" applyAlignment="1">
      <alignment horizontal="center" vertical="center" wrapText="1"/>
    </xf>
    <xf numFmtId="0" fontId="34" fillId="0" borderId="2" xfId="2" applyFont="1" applyBorder="1" applyAlignment="1">
      <alignment horizontal="center" vertical="center" wrapText="1"/>
    </xf>
    <xf numFmtId="0" fontId="34" fillId="0" borderId="2" xfId="2" applyFont="1" applyBorder="1"/>
    <xf numFmtId="0" fontId="35" fillId="6" borderId="5" xfId="2" applyFont="1" applyFill="1" applyBorder="1" applyAlignment="1">
      <alignment horizontal="center" vertical="center" wrapText="1"/>
    </xf>
    <xf numFmtId="0" fontId="39" fillId="6" borderId="44" xfId="2" quotePrefix="1" applyFont="1" applyFill="1" applyBorder="1" applyAlignment="1">
      <alignment horizontal="center" vertical="top" wrapText="1"/>
    </xf>
    <xf numFmtId="0" fontId="39" fillId="6" borderId="2" xfId="2" applyFont="1" applyFill="1" applyBorder="1" applyAlignment="1">
      <alignment horizontal="center" vertical="top" wrapText="1"/>
    </xf>
    <xf numFmtId="0" fontId="35" fillId="6" borderId="42" xfId="2" applyFont="1" applyFill="1" applyBorder="1" applyAlignment="1">
      <alignment horizontal="center" vertical="center" wrapText="1"/>
    </xf>
    <xf numFmtId="0" fontId="34" fillId="0" borderId="44" xfId="2" applyFont="1" applyBorder="1" applyAlignment="1">
      <alignment horizontal="center" vertical="center" wrapText="1"/>
    </xf>
    <xf numFmtId="0" fontId="39" fillId="0" borderId="44" xfId="2" applyFont="1" applyBorder="1" applyAlignment="1">
      <alignment horizontal="center" vertical="center"/>
    </xf>
    <xf numFmtId="0" fontId="34" fillId="0" borderId="44" xfId="2" applyFont="1" applyBorder="1"/>
    <xf numFmtId="0" fontId="35" fillId="0" borderId="1" xfId="2" quotePrefix="1" applyFont="1" applyBorder="1" applyAlignment="1">
      <alignment horizontal="center" vertical="center"/>
    </xf>
    <xf numFmtId="0" fontId="39" fillId="6" borderId="43" xfId="2" quotePrefix="1" applyFont="1" applyFill="1" applyBorder="1" applyAlignment="1">
      <alignment horizontal="center" vertical="center" wrapText="1"/>
    </xf>
    <xf numFmtId="0" fontId="35" fillId="0" borderId="1" xfId="2" quotePrefix="1" applyFont="1" applyFill="1" applyBorder="1" applyAlignment="1">
      <alignment horizontal="center" vertical="center"/>
    </xf>
    <xf numFmtId="0" fontId="39" fillId="6" borderId="44" xfId="2" applyFont="1" applyFill="1" applyBorder="1" applyAlignment="1">
      <alignment horizontal="center" vertical="center" wrapText="1"/>
    </xf>
    <xf numFmtId="0" fontId="36" fillId="0" borderId="2" xfId="2" applyFont="1" applyBorder="1" applyAlignment="1">
      <alignment horizontal="center" vertical="center"/>
    </xf>
    <xf numFmtId="0" fontId="35" fillId="0" borderId="2" xfId="2" applyFont="1" applyBorder="1" applyAlignment="1">
      <alignment horizontal="center" vertical="center"/>
    </xf>
    <xf numFmtId="0" fontId="35" fillId="0" borderId="5" xfId="2" applyFont="1" applyBorder="1" applyAlignment="1">
      <alignment vertical="center"/>
    </xf>
    <xf numFmtId="0" fontId="35" fillId="0" borderId="43" xfId="2" applyFont="1" applyBorder="1" applyAlignment="1">
      <alignment horizontal="center" vertical="center"/>
    </xf>
    <xf numFmtId="0" fontId="35" fillId="0" borderId="2" xfId="2" applyNumberFormat="1" applyFont="1" applyBorder="1" applyAlignment="1">
      <alignment horizontal="center" vertical="center"/>
    </xf>
    <xf numFmtId="0" fontId="35" fillId="0" borderId="1" xfId="2" applyFont="1" applyBorder="1" applyAlignment="1">
      <alignment horizontal="center" vertical="center"/>
    </xf>
    <xf numFmtId="0" fontId="35" fillId="0" borderId="44" xfId="2" applyFont="1" applyBorder="1" applyAlignment="1">
      <alignment horizontal="center" vertical="center"/>
    </xf>
    <xf numFmtId="0" fontId="35" fillId="0" borderId="43" xfId="2" applyFont="1" applyBorder="1" applyAlignment="1">
      <alignment horizontal="left" vertical="center" wrapText="1"/>
    </xf>
    <xf numFmtId="0" fontId="35" fillId="0" borderId="1" xfId="2" applyFont="1" applyBorder="1" applyAlignment="1">
      <alignment vertical="center"/>
    </xf>
    <xf numFmtId="0" fontId="35" fillId="0" borderId="44" xfId="2" applyFont="1" applyBorder="1" applyAlignment="1">
      <alignment horizontal="left" vertical="center" wrapText="1"/>
    </xf>
    <xf numFmtId="0" fontId="35" fillId="0" borderId="1" xfId="2" applyFont="1" applyBorder="1" applyAlignment="1">
      <alignment horizontal="center" vertical="top"/>
    </xf>
    <xf numFmtId="1" fontId="35" fillId="0" borderId="1" xfId="2" applyNumberFormat="1" applyFont="1" applyBorder="1" applyAlignment="1">
      <alignment horizontal="center" vertical="center"/>
    </xf>
    <xf numFmtId="0" fontId="35" fillId="0" borderId="1" xfId="2" applyNumberFormat="1" applyFont="1" applyBorder="1" applyAlignment="1">
      <alignment horizontal="center" vertical="center"/>
    </xf>
    <xf numFmtId="0" fontId="39" fillId="6" borderId="8" xfId="2" applyFont="1" applyFill="1" applyBorder="1" applyAlignment="1">
      <alignment horizontal="center" vertical="center" wrapText="1"/>
    </xf>
    <xf numFmtId="0" fontId="34" fillId="0" borderId="2" xfId="2" applyFont="1" applyBorder="1" applyAlignment="1">
      <alignment vertical="center"/>
    </xf>
    <xf numFmtId="0" fontId="34" fillId="0" borderId="1" xfId="2" applyFont="1" applyBorder="1" applyAlignment="1">
      <alignment vertical="top"/>
    </xf>
    <xf numFmtId="0" fontId="35" fillId="0" borderId="43" xfId="2" applyNumberFormat="1" applyFont="1" applyBorder="1" applyAlignment="1">
      <alignment vertical="center" wrapText="1"/>
    </xf>
    <xf numFmtId="0" fontId="35" fillId="0" borderId="43" xfId="2" applyNumberFormat="1" applyFont="1" applyBorder="1" applyAlignment="1">
      <alignment horizontal="left" vertical="center" wrapText="1"/>
    </xf>
    <xf numFmtId="0" fontId="35" fillId="0" borderId="44" xfId="2" applyNumberFormat="1" applyFont="1" applyBorder="1" applyAlignment="1">
      <alignment horizontal="left" vertical="center" wrapText="1"/>
    </xf>
    <xf numFmtId="0" fontId="39" fillId="6" borderId="44" xfId="2" applyFont="1" applyFill="1" applyBorder="1" applyAlignment="1">
      <alignment horizontal="center" vertical="top" wrapText="1"/>
    </xf>
    <xf numFmtId="0" fontId="36" fillId="0" borderId="43" xfId="2" applyFont="1" applyBorder="1" applyAlignment="1">
      <alignment horizontal="center" vertical="top"/>
    </xf>
    <xf numFmtId="167" fontId="35" fillId="0" borderId="1" xfId="2" applyNumberFormat="1" applyFont="1" applyBorder="1" applyAlignment="1">
      <alignment horizontal="center" vertical="center" wrapText="1"/>
    </xf>
    <xf numFmtId="0" fontId="39" fillId="6" borderId="44" xfId="2" applyFont="1" applyFill="1" applyBorder="1" applyAlignment="1">
      <alignment horizontal="center" vertical="top"/>
    </xf>
    <xf numFmtId="167" fontId="35" fillId="0" borderId="1" xfId="2" applyNumberFormat="1" applyFont="1" applyBorder="1" applyAlignment="1">
      <alignment horizontal="center" vertical="center"/>
    </xf>
    <xf numFmtId="0" fontId="39" fillId="0" borderId="5" xfId="2" applyFont="1" applyBorder="1" applyAlignment="1">
      <alignment horizontal="center" vertical="center"/>
    </xf>
    <xf numFmtId="0" fontId="36" fillId="11" borderId="1" xfId="2" applyFont="1" applyFill="1" applyBorder="1" applyAlignment="1">
      <alignment horizontal="center" vertical="center"/>
    </xf>
    <xf numFmtId="0" fontId="34" fillId="0" borderId="0" xfId="2" applyFont="1" applyBorder="1" applyAlignment="1">
      <alignment horizontal="center" vertical="top"/>
    </xf>
    <xf numFmtId="0" fontId="39" fillId="0" borderId="0" xfId="2" applyFont="1" applyBorder="1"/>
    <xf numFmtId="0" fontId="39" fillId="0" borderId="0" xfId="2" applyFont="1" applyBorder="1" applyAlignment="1">
      <alignment horizontal="center" vertical="top"/>
    </xf>
    <xf numFmtId="0" fontId="34" fillId="0" borderId="0" xfId="2" applyFont="1" applyAlignment="1">
      <alignment horizontal="center" vertical="center" wrapText="1"/>
    </xf>
    <xf numFmtId="0" fontId="39" fillId="0" borderId="0" xfId="2" applyFont="1" applyBorder="1" applyAlignment="1">
      <alignment horizontal="center"/>
    </xf>
    <xf numFmtId="168" fontId="40" fillId="0" borderId="35" xfId="2" applyNumberFormat="1" applyFont="1" applyFill="1" applyBorder="1" applyAlignment="1" applyProtection="1">
      <alignment horizontal="center" vertical="center"/>
    </xf>
    <xf numFmtId="168" fontId="40" fillId="0" borderId="36" xfId="2" applyNumberFormat="1" applyFont="1" applyFill="1" applyBorder="1" applyAlignment="1" applyProtection="1">
      <alignment vertical="center"/>
    </xf>
    <xf numFmtId="168" fontId="44" fillId="0" borderId="15" xfId="2" applyNumberFormat="1" applyFont="1" applyFill="1" applyBorder="1" applyAlignment="1" applyProtection="1">
      <alignment vertical="center"/>
    </xf>
    <xf numFmtId="168" fontId="39" fillId="0" borderId="15" xfId="2" applyNumberFormat="1" applyFont="1" applyFill="1" applyBorder="1" applyAlignment="1" applyProtection="1">
      <alignment horizontal="left" vertical="center"/>
    </xf>
    <xf numFmtId="168" fontId="39" fillId="0" borderId="15" xfId="2" applyNumberFormat="1" applyFont="1" applyFill="1" applyBorder="1" applyAlignment="1" applyProtection="1">
      <alignment vertical="center"/>
    </xf>
    <xf numFmtId="0" fontId="35" fillId="0" borderId="15" xfId="2" applyFont="1" applyFill="1" applyBorder="1" applyAlignment="1" applyProtection="1">
      <alignment vertical="center"/>
    </xf>
    <xf numFmtId="168" fontId="39" fillId="0" borderId="37" xfId="2" applyNumberFormat="1" applyFont="1" applyFill="1" applyBorder="1" applyAlignment="1" applyProtection="1">
      <alignment horizontal="center" vertical="center"/>
    </xf>
    <xf numFmtId="168" fontId="39" fillId="0" borderId="38" xfId="2" applyNumberFormat="1" applyFont="1" applyFill="1" applyBorder="1" applyAlignment="1" applyProtection="1">
      <alignment horizontal="center" vertical="center"/>
    </xf>
    <xf numFmtId="168" fontId="39" fillId="0" borderId="39" xfId="2" applyNumberFormat="1" applyFont="1" applyFill="1" applyBorder="1" applyAlignment="1" applyProtection="1">
      <alignment horizontal="left" vertical="center"/>
    </xf>
    <xf numFmtId="0" fontId="35" fillId="0" borderId="0" xfId="2" applyFont="1" applyFill="1" applyBorder="1" applyAlignment="1" applyProtection="1">
      <alignment horizontal="left" vertical="center"/>
    </xf>
    <xf numFmtId="0" fontId="35" fillId="0" borderId="0" xfId="2" applyFont="1" applyFill="1" applyBorder="1" applyAlignment="1">
      <alignment horizontal="left" vertical="center"/>
    </xf>
    <xf numFmtId="0" fontId="35" fillId="0" borderId="11" xfId="2" applyFont="1" applyFill="1" applyBorder="1" applyAlignment="1">
      <alignment horizontal="left" vertical="center"/>
    </xf>
    <xf numFmtId="168" fontId="39" fillId="0" borderId="0" xfId="2" applyNumberFormat="1" applyFont="1" applyFill="1" applyBorder="1" applyAlignment="1" applyProtection="1">
      <alignment vertical="center"/>
    </xf>
    <xf numFmtId="0" fontId="35" fillId="0" borderId="11" xfId="2" applyFont="1" applyFill="1" applyBorder="1" applyAlignment="1">
      <alignment vertical="center"/>
    </xf>
    <xf numFmtId="168" fontId="39" fillId="0" borderId="37" xfId="2" applyNumberFormat="1" applyFont="1" applyFill="1" applyBorder="1" applyAlignment="1" applyProtection="1">
      <alignment horizontal="center" vertical="top"/>
    </xf>
    <xf numFmtId="168" fontId="39" fillId="0" borderId="38" xfId="2" applyNumberFormat="1" applyFont="1" applyFill="1" applyBorder="1" applyAlignment="1" applyProtection="1">
      <alignment horizontal="center" vertical="top"/>
    </xf>
    <xf numFmtId="168" fontId="39" fillId="0" borderId="0" xfId="2" applyNumberFormat="1" applyFont="1" applyFill="1" applyBorder="1" applyAlignment="1" applyProtection="1">
      <alignment vertical="top"/>
    </xf>
    <xf numFmtId="0" fontId="35" fillId="0" borderId="0" xfId="2" applyFont="1" applyFill="1" applyBorder="1" applyAlignment="1">
      <alignment horizontal="center" vertical="top"/>
    </xf>
    <xf numFmtId="0" fontId="35" fillId="0" borderId="0" xfId="2" applyFont="1" applyFill="1" applyBorder="1" applyAlignment="1">
      <alignment vertical="top"/>
    </xf>
    <xf numFmtId="0" fontId="35" fillId="0" borderId="11" xfId="2" applyFont="1" applyFill="1" applyBorder="1" applyAlignment="1">
      <alignment vertical="top"/>
    </xf>
    <xf numFmtId="168" fontId="39" fillId="0" borderId="0" xfId="2" applyNumberFormat="1" applyFont="1" applyFill="1" applyBorder="1" applyAlignment="1" applyProtection="1">
      <alignment horizontal="left" vertical="center"/>
    </xf>
    <xf numFmtId="168" fontId="39" fillId="0" borderId="39" xfId="2" applyNumberFormat="1" applyFont="1" applyFill="1" applyBorder="1" applyAlignment="1" applyProtection="1">
      <alignment vertical="center"/>
    </xf>
    <xf numFmtId="0" fontId="35" fillId="0" borderId="0" xfId="2" applyFont="1" applyFill="1" applyBorder="1" applyAlignment="1" applyProtection="1">
      <alignment vertical="center"/>
    </xf>
    <xf numFmtId="0" fontId="35" fillId="0" borderId="0" xfId="2" applyFont="1" applyFill="1" applyBorder="1"/>
    <xf numFmtId="168" fontId="39" fillId="0" borderId="0" xfId="2" applyNumberFormat="1" applyFont="1" applyFill="1" applyBorder="1" applyAlignment="1" applyProtection="1">
      <alignment horizontal="left" vertical="top"/>
    </xf>
    <xf numFmtId="0" fontId="35" fillId="0" borderId="0" xfId="2" quotePrefix="1" applyFont="1" applyFill="1" applyBorder="1" applyAlignment="1">
      <alignment vertical="center"/>
    </xf>
    <xf numFmtId="0" fontId="35" fillId="0" borderId="11" xfId="2" quotePrefix="1" applyFont="1" applyFill="1" applyBorder="1" applyAlignment="1">
      <alignment vertical="center"/>
    </xf>
    <xf numFmtId="168" fontId="39" fillId="0" borderId="38" xfId="2" applyNumberFormat="1" applyFont="1" applyFill="1" applyBorder="1" applyAlignment="1" applyProtection="1">
      <alignment vertical="top"/>
    </xf>
    <xf numFmtId="168" fontId="39" fillId="0" borderId="40" xfId="2" applyNumberFormat="1" applyFont="1" applyFill="1" applyBorder="1" applyAlignment="1" applyProtection="1">
      <alignment horizontal="center" vertical="top"/>
    </xf>
    <xf numFmtId="168" fontId="39" fillId="0" borderId="41" xfId="2" applyNumberFormat="1" applyFont="1" applyFill="1" applyBorder="1" applyAlignment="1" applyProtection="1">
      <alignment vertical="top"/>
    </xf>
    <xf numFmtId="168" fontId="39" fillId="0" borderId="13" xfId="2" applyNumberFormat="1" applyFont="1" applyFill="1" applyBorder="1" applyAlignment="1" applyProtection="1">
      <alignment vertical="top"/>
    </xf>
    <xf numFmtId="168" fontId="39" fillId="0" borderId="13" xfId="2" applyNumberFormat="1" applyFont="1" applyFill="1" applyBorder="1" applyAlignment="1" applyProtection="1">
      <alignment horizontal="left" vertical="top"/>
    </xf>
    <xf numFmtId="168" fontId="39" fillId="0" borderId="42" xfId="2" applyNumberFormat="1" applyFont="1" applyFill="1" applyBorder="1" applyAlignment="1" applyProtection="1">
      <alignment vertical="top"/>
    </xf>
    <xf numFmtId="0" fontId="35" fillId="0" borderId="13" xfId="2" applyFont="1" applyFill="1" applyBorder="1" applyAlignment="1" applyProtection="1">
      <alignment vertical="top"/>
    </xf>
    <xf numFmtId="0" fontId="35" fillId="0" borderId="13" xfId="2" applyFont="1" applyFill="1" applyBorder="1" applyAlignment="1">
      <alignment horizontal="center" vertical="top"/>
    </xf>
    <xf numFmtId="0" fontId="35" fillId="0" borderId="13" xfId="2" applyFont="1" applyFill="1" applyBorder="1" applyAlignment="1">
      <alignment vertical="top"/>
    </xf>
    <xf numFmtId="0" fontId="35" fillId="0" borderId="14" xfId="2" applyFont="1" applyFill="1" applyBorder="1" applyAlignment="1">
      <alignment vertical="top"/>
    </xf>
    <xf numFmtId="168" fontId="40" fillId="0" borderId="40" xfId="2" applyNumberFormat="1" applyFont="1" applyFill="1" applyBorder="1" applyAlignment="1" applyProtection="1">
      <alignment horizontal="center" vertical="center"/>
    </xf>
    <xf numFmtId="168" fontId="40" fillId="0" borderId="41" xfId="2" applyNumberFormat="1" applyFont="1" applyFill="1" applyBorder="1" applyAlignment="1" applyProtection="1">
      <alignment vertical="center"/>
    </xf>
    <xf numFmtId="168" fontId="44" fillId="0" borderId="13" xfId="2" applyNumberFormat="1" applyFont="1" applyFill="1" applyBorder="1" applyAlignment="1" applyProtection="1">
      <alignment vertical="top"/>
    </xf>
    <xf numFmtId="168" fontId="40" fillId="0" borderId="13" xfId="2" applyNumberFormat="1" applyFont="1" applyFill="1" applyBorder="1" applyAlignment="1" applyProtection="1">
      <alignment horizontal="left" vertical="top"/>
    </xf>
    <xf numFmtId="168" fontId="40" fillId="0" borderId="13" xfId="2" applyNumberFormat="1" applyFont="1" applyFill="1" applyBorder="1" applyAlignment="1" applyProtection="1">
      <alignment vertical="top"/>
    </xf>
    <xf numFmtId="0" fontId="36" fillId="0" borderId="13" xfId="2" applyFont="1" applyFill="1" applyBorder="1" applyAlignment="1" applyProtection="1">
      <alignment vertical="top"/>
    </xf>
    <xf numFmtId="0" fontId="36" fillId="0" borderId="13" xfId="2" applyFont="1" applyFill="1" applyBorder="1" applyAlignment="1">
      <alignment horizontal="center" vertical="top"/>
    </xf>
    <xf numFmtId="0" fontId="36" fillId="0" borderId="13" xfId="2" applyFont="1" applyFill="1" applyBorder="1" applyAlignment="1">
      <alignment vertical="top"/>
    </xf>
    <xf numFmtId="0" fontId="36" fillId="0" borderId="14" xfId="2" applyFont="1" applyFill="1" applyBorder="1" applyAlignment="1">
      <alignment vertical="top"/>
    </xf>
    <xf numFmtId="0" fontId="36" fillId="0" borderId="0" xfId="2" applyFont="1" applyFill="1" applyBorder="1" applyAlignment="1">
      <alignment vertical="top"/>
    </xf>
    <xf numFmtId="0" fontId="36" fillId="0" borderId="0" xfId="2" applyFont="1" applyFill="1"/>
    <xf numFmtId="168" fontId="39" fillId="0" borderId="0" xfId="2" quotePrefix="1" applyNumberFormat="1" applyFont="1" applyFill="1" applyBorder="1" applyAlignment="1" applyProtection="1">
      <alignment horizontal="left" vertical="center"/>
    </xf>
    <xf numFmtId="168" fontId="39" fillId="0" borderId="39" xfId="2" applyNumberFormat="1" applyFont="1" applyFill="1" applyBorder="1" applyAlignment="1" applyProtection="1">
      <alignment vertical="top"/>
    </xf>
    <xf numFmtId="0" fontId="35" fillId="0" borderId="0" xfId="2" applyFont="1" applyFill="1" applyBorder="1" applyAlignment="1" applyProtection="1">
      <alignment vertical="top"/>
    </xf>
    <xf numFmtId="0" fontId="35" fillId="0" borderId="0" xfId="2" quotePrefix="1" applyFont="1" applyFill="1" applyBorder="1" applyAlignment="1">
      <alignment vertical="top"/>
    </xf>
    <xf numFmtId="0" fontId="35" fillId="0" borderId="0" xfId="2" quotePrefix="1" applyFont="1" applyFill="1" applyBorder="1" applyAlignment="1">
      <alignment horizontal="center" vertical="center"/>
    </xf>
    <xf numFmtId="0" fontId="35" fillId="0" borderId="13" xfId="2" applyFont="1" applyFill="1" applyBorder="1"/>
    <xf numFmtId="168" fontId="44" fillId="0" borderId="7" xfId="2" applyNumberFormat="1" applyFont="1" applyFill="1" applyBorder="1" applyAlignment="1" applyProtection="1">
      <alignment vertical="top"/>
    </xf>
    <xf numFmtId="168" fontId="40" fillId="0" borderId="7" xfId="2" applyNumberFormat="1" applyFont="1" applyFill="1" applyBorder="1" applyAlignment="1" applyProtection="1">
      <alignment horizontal="left" vertical="top"/>
    </xf>
    <xf numFmtId="168" fontId="40" fillId="0" borderId="15" xfId="2" applyNumberFormat="1" applyFont="1" applyFill="1" applyBorder="1" applyAlignment="1" applyProtection="1">
      <alignment vertical="top"/>
    </xf>
    <xf numFmtId="0" fontId="36" fillId="0" borderId="15" xfId="2" applyFont="1" applyFill="1" applyBorder="1" applyAlignment="1" applyProtection="1">
      <alignment vertical="top"/>
    </xf>
    <xf numFmtId="0" fontId="36" fillId="0" borderId="15" xfId="2" applyFont="1" applyFill="1" applyBorder="1" applyAlignment="1">
      <alignment horizontal="center" vertical="top"/>
    </xf>
    <xf numFmtId="0" fontId="36" fillId="0" borderId="15" xfId="2" applyFont="1" applyFill="1" applyBorder="1" applyAlignment="1">
      <alignment vertical="top"/>
    </xf>
    <xf numFmtId="0" fontId="36" fillId="0" borderId="6" xfId="2" applyFont="1" applyFill="1" applyBorder="1" applyAlignment="1">
      <alignment vertical="top"/>
    </xf>
    <xf numFmtId="0" fontId="35" fillId="0" borderId="39" xfId="2" applyFont="1" applyFill="1" applyBorder="1" applyAlignment="1">
      <alignment vertical="top"/>
    </xf>
    <xf numFmtId="168" fontId="39" fillId="0" borderId="0" xfId="2" quotePrefix="1" applyNumberFormat="1" applyFont="1" applyFill="1" applyBorder="1" applyAlignment="1" applyProtection="1">
      <alignment vertical="top"/>
    </xf>
    <xf numFmtId="0" fontId="35" fillId="0" borderId="11" xfId="2" quotePrefix="1" applyFont="1" applyFill="1" applyBorder="1" applyAlignment="1">
      <alignment vertical="top"/>
    </xf>
    <xf numFmtId="0" fontId="35" fillId="0" borderId="0" xfId="2" quotePrefix="1" applyFont="1" applyFill="1" applyBorder="1" applyAlignment="1">
      <alignment horizontal="center" vertical="top"/>
    </xf>
    <xf numFmtId="0" fontId="35" fillId="0" borderId="11" xfId="2" quotePrefix="1" applyFont="1" applyFill="1" applyBorder="1" applyAlignment="1">
      <alignment horizontal="center" vertical="top"/>
    </xf>
    <xf numFmtId="168" fontId="39" fillId="0" borderId="43" xfId="2" applyNumberFormat="1" applyFont="1" applyFill="1" applyBorder="1" applyAlignment="1" applyProtection="1">
      <alignment horizontal="center" vertical="top"/>
    </xf>
    <xf numFmtId="168" fontId="39" fillId="0" borderId="44" xfId="2" applyNumberFormat="1" applyFont="1" applyFill="1" applyBorder="1" applyAlignment="1" applyProtection="1">
      <alignment horizontal="center" vertical="top"/>
    </xf>
    <xf numFmtId="0" fontId="0" fillId="0" borderId="0" xfId="0" applyAlignment="1">
      <alignment horizontal="left" vertical="top"/>
    </xf>
    <xf numFmtId="0" fontId="34" fillId="0" borderId="15" xfId="2" applyFont="1" applyBorder="1" applyAlignment="1">
      <alignment vertical="center" wrapText="1"/>
    </xf>
    <xf numFmtId="0" fontId="34" fillId="0" borderId="6" xfId="2" applyFont="1" applyBorder="1" applyAlignment="1">
      <alignment vertical="center" wrapText="1"/>
    </xf>
    <xf numFmtId="0" fontId="39" fillId="0" borderId="49" xfId="2" applyFont="1" applyBorder="1" applyAlignment="1">
      <alignment horizontal="center" vertical="center"/>
    </xf>
    <xf numFmtId="0" fontId="34" fillId="0" borderId="49" xfId="2" applyFont="1" applyBorder="1"/>
    <xf numFmtId="0" fontId="34" fillId="0" borderId="49" xfId="2" applyFont="1" applyBorder="1" applyAlignment="1">
      <alignment horizontal="center" vertical="center" wrapText="1"/>
    </xf>
    <xf numFmtId="0" fontId="35" fillId="0" borderId="49" xfId="2" applyFont="1" applyFill="1" applyBorder="1" applyAlignment="1">
      <alignment vertical="center"/>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0" fillId="0" borderId="0" xfId="0" applyFill="1" applyBorder="1" applyAlignment="1">
      <alignment horizontal="center" vertical="center" wrapText="1"/>
    </xf>
    <xf numFmtId="0" fontId="1" fillId="13" borderId="5" xfId="0" applyFont="1" applyFill="1" applyBorder="1" applyAlignment="1">
      <alignment vertical="center"/>
    </xf>
    <xf numFmtId="0" fontId="1" fillId="13" borderId="15" xfId="0" applyFont="1" applyFill="1" applyBorder="1" applyAlignment="1">
      <alignment vertical="center"/>
    </xf>
    <xf numFmtId="0" fontId="1" fillId="13" borderId="6" xfId="0" applyFont="1" applyFill="1" applyBorder="1" applyAlignment="1">
      <alignment vertical="center"/>
    </xf>
    <xf numFmtId="2" fontId="34" fillId="0" borderId="1" xfId="2" applyNumberFormat="1" applyFont="1" applyBorder="1" applyAlignment="1">
      <alignment horizontal="center" vertical="center" wrapText="1"/>
    </xf>
    <xf numFmtId="2" fontId="34" fillId="0" borderId="44" xfId="2" applyNumberFormat="1" applyFont="1" applyBorder="1" applyAlignment="1">
      <alignment horizontal="center" vertical="center" wrapText="1"/>
    </xf>
    <xf numFmtId="2" fontId="39" fillId="0" borderId="1" xfId="2" applyNumberFormat="1" applyFont="1" applyBorder="1" applyAlignment="1">
      <alignment horizontal="center" vertical="center"/>
    </xf>
    <xf numFmtId="2" fontId="39" fillId="6" borderId="1" xfId="2" applyNumberFormat="1" applyFont="1" applyFill="1" applyBorder="1" applyAlignment="1">
      <alignment vertical="center" wrapText="1"/>
    </xf>
    <xf numFmtId="2" fontId="35" fillId="0" borderId="1" xfId="2" applyNumberFormat="1" applyFont="1" applyFill="1" applyBorder="1" applyAlignment="1">
      <alignment vertical="center"/>
    </xf>
    <xf numFmtId="2" fontId="35" fillId="0" borderId="1" xfId="2" applyNumberFormat="1" applyFont="1" applyFill="1" applyBorder="1" applyAlignment="1">
      <alignment horizontal="center" vertical="center"/>
    </xf>
    <xf numFmtId="2" fontId="43" fillId="11" borderId="1" xfId="2" applyNumberFormat="1" applyFont="1" applyFill="1" applyBorder="1" applyAlignment="1">
      <alignment horizontal="center" vertical="center" wrapText="1"/>
    </xf>
    <xf numFmtId="2" fontId="36" fillId="11" borderId="1" xfId="2" applyNumberFormat="1" applyFont="1" applyFill="1" applyBorder="1" applyAlignment="1">
      <alignment horizontal="center" vertical="center"/>
    </xf>
    <xf numFmtId="0" fontId="0" fillId="14" borderId="15" xfId="0" applyFill="1" applyBorder="1" applyAlignment="1">
      <alignment horizontal="center" vertical="center"/>
    </xf>
    <xf numFmtId="0" fontId="4" fillId="14" borderId="15" xfId="0" applyFont="1" applyFill="1" applyBorder="1" applyAlignment="1">
      <alignment horizontal="center" vertical="center" wrapText="1"/>
    </xf>
    <xf numFmtId="0" fontId="4" fillId="14" borderId="15" xfId="0" applyFont="1" applyFill="1" applyBorder="1" applyAlignment="1">
      <alignment horizontal="center" vertical="center"/>
    </xf>
    <xf numFmtId="2" fontId="4" fillId="14" borderId="15" xfId="0" applyNumberFormat="1" applyFont="1" applyFill="1" applyBorder="1" applyAlignment="1">
      <alignment horizontal="center" vertical="center"/>
    </xf>
    <xf numFmtId="2" fontId="4" fillId="14" borderId="6" xfId="0" applyNumberFormat="1" applyFont="1" applyFill="1" applyBorder="1" applyAlignment="1">
      <alignment horizontal="center" vertical="center"/>
    </xf>
    <xf numFmtId="2" fontId="1" fillId="0" borderId="1" xfId="0" applyNumberFormat="1" applyFont="1" applyBorder="1" applyAlignment="1">
      <alignment vertical="center" wrapText="1"/>
    </xf>
    <xf numFmtId="0" fontId="13" fillId="0" borderId="0" xfId="0" applyFont="1" applyAlignment="1">
      <alignment horizontal="center"/>
    </xf>
    <xf numFmtId="165" fontId="14" fillId="0" borderId="19" xfId="1" applyNumberFormat="1" applyFont="1" applyFill="1" applyBorder="1" applyAlignment="1">
      <alignment horizontal="right" vertical="center"/>
    </xf>
    <xf numFmtId="0" fontId="0" fillId="0" borderId="5" xfId="0" applyBorder="1" applyAlignment="1">
      <alignment horizontal="left" vertical="top"/>
    </xf>
    <xf numFmtId="0" fontId="12" fillId="0" borderId="0" xfId="6"/>
    <xf numFmtId="0" fontId="6" fillId="0" borderId="0" xfId="6" applyFont="1"/>
    <xf numFmtId="0" fontId="6" fillId="0" borderId="0" xfId="6" applyFont="1" applyFill="1" applyBorder="1" applyAlignment="1">
      <alignment wrapText="1"/>
    </xf>
    <xf numFmtId="0" fontId="4" fillId="0" borderId="1" xfId="6" applyFont="1" applyFill="1" applyBorder="1" applyAlignment="1">
      <alignment vertical="center" wrapText="1"/>
    </xf>
    <xf numFmtId="0" fontId="4" fillId="0" borderId="1" xfId="6" applyFont="1" applyFill="1" applyBorder="1" applyAlignment="1">
      <alignment horizontal="center" vertical="center" wrapText="1"/>
    </xf>
    <xf numFmtId="0" fontId="33" fillId="0" borderId="1" xfId="4" applyFill="1" applyBorder="1" applyAlignment="1" applyProtection="1">
      <alignment vertical="center" wrapText="1"/>
    </xf>
    <xf numFmtId="0" fontId="4" fillId="0" borderId="6" xfId="6" applyFont="1" applyFill="1" applyBorder="1" applyAlignment="1">
      <alignment horizontal="left" vertical="center" wrapText="1"/>
    </xf>
    <xf numFmtId="0" fontId="4" fillId="0" borderId="6" xfId="6" applyFont="1" applyFill="1" applyBorder="1" applyAlignment="1">
      <alignment horizontal="left" vertical="center"/>
    </xf>
    <xf numFmtId="0" fontId="12" fillId="0" borderId="1" xfId="6" applyFill="1" applyBorder="1" applyAlignment="1">
      <alignment vertical="center" wrapText="1"/>
    </xf>
    <xf numFmtId="0" fontId="4" fillId="0" borderId="1" xfId="6" applyFont="1" applyFill="1" applyBorder="1" applyAlignment="1">
      <alignment horizontal="left" vertical="center" wrapText="1"/>
    </xf>
    <xf numFmtId="0" fontId="5" fillId="3" borderId="44" xfId="6" applyFont="1" applyFill="1" applyBorder="1" applyAlignment="1">
      <alignment horizontal="center" vertical="center" wrapText="1"/>
    </xf>
    <xf numFmtId="0" fontId="13" fillId="0" borderId="0" xfId="0" applyFont="1" applyBorder="1" applyAlignment="1">
      <alignment horizontal="right" vertical="center"/>
    </xf>
    <xf numFmtId="2" fontId="13" fillId="0" borderId="0" xfId="0" applyNumberFormat="1" applyFont="1" applyBorder="1" applyAlignment="1">
      <alignment vertical="center"/>
    </xf>
    <xf numFmtId="9" fontId="13" fillId="0" borderId="0" xfId="1" applyFont="1" applyBorder="1" applyAlignment="1">
      <alignment vertical="center"/>
    </xf>
    <xf numFmtId="2" fontId="46" fillId="0" borderId="1" xfId="0" applyNumberFormat="1" applyFont="1" applyBorder="1" applyAlignment="1">
      <alignment horizontal="center" vertical="center"/>
    </xf>
    <xf numFmtId="0" fontId="0" fillId="0" borderId="6" xfId="0" applyFill="1" applyBorder="1" applyAlignment="1">
      <alignment horizontal="center"/>
    </xf>
    <xf numFmtId="0" fontId="0" fillId="0" borderId="15" xfId="0" applyFill="1" applyBorder="1" applyAlignment="1">
      <alignment horizontal="center"/>
    </xf>
    <xf numFmtId="0" fontId="0" fillId="0" borderId="54" xfId="0" applyFill="1" applyBorder="1" applyAlignment="1">
      <alignment horizontal="left"/>
    </xf>
    <xf numFmtId="0" fontId="0" fillId="0" borderId="15" xfId="0" applyFill="1" applyBorder="1" applyAlignment="1">
      <alignment horizontal="left"/>
    </xf>
    <xf numFmtId="0" fontId="0" fillId="0" borderId="6" xfId="0" applyFill="1" applyBorder="1" applyAlignment="1">
      <alignment horizontal="left"/>
    </xf>
    <xf numFmtId="0" fontId="9" fillId="0" borderId="54" xfId="0" applyFont="1" applyFill="1" applyBorder="1" applyAlignment="1">
      <alignment horizontal="left" vertical="center" wrapText="1"/>
    </xf>
    <xf numFmtId="0" fontId="4" fillId="0" borderId="49" xfId="0" applyFont="1" applyFill="1" applyBorder="1" applyAlignment="1">
      <alignment horizontal="center" vertical="center" wrapText="1"/>
    </xf>
    <xf numFmtId="0" fontId="4" fillId="2" borderId="0" xfId="0" applyFont="1" applyFill="1" applyAlignment="1">
      <alignment horizontal="center" vertical="center" wrapText="1"/>
    </xf>
    <xf numFmtId="0" fontId="4" fillId="0" borderId="1" xfId="0" applyFont="1" applyFill="1" applyBorder="1" applyAlignment="1">
      <alignment horizontal="center" vertical="center" wrapText="1"/>
    </xf>
    <xf numFmtId="0" fontId="9" fillId="0" borderId="54" xfId="0" applyFont="1" applyFill="1" applyBorder="1" applyAlignment="1">
      <alignment horizontal="left" vertical="center" wrapText="1"/>
    </xf>
    <xf numFmtId="0" fontId="4" fillId="2" borderId="0" xfId="0" applyFont="1" applyFill="1" applyAlignment="1">
      <alignment horizontal="center" vertical="center" wrapText="1"/>
    </xf>
    <xf numFmtId="0" fontId="5" fillId="0" borderId="49" xfId="0" applyFont="1" applyFill="1" applyBorder="1" applyAlignment="1">
      <alignment horizontal="center" vertical="center" wrapText="1"/>
    </xf>
    <xf numFmtId="0" fontId="4" fillId="0" borderId="54" xfId="0" applyFont="1" applyBorder="1" applyAlignment="1">
      <alignment vertical="center"/>
    </xf>
    <xf numFmtId="0" fontId="4" fillId="0" borderId="49" xfId="0" applyFont="1" applyBorder="1" applyAlignment="1">
      <alignment horizontal="left" vertical="center" wrapText="1"/>
    </xf>
    <xf numFmtId="0" fontId="4" fillId="0" borderId="54" xfId="0" applyFont="1" applyBorder="1" applyAlignment="1">
      <alignment vertical="center"/>
    </xf>
    <xf numFmtId="0" fontId="4" fillId="0" borderId="6" xfId="0" applyFont="1" applyBorder="1" applyAlignment="1">
      <alignment horizontal="left" vertical="center" wrapText="1"/>
    </xf>
    <xf numFmtId="0" fontId="4" fillId="0" borderId="6" xfId="0" applyFont="1" applyBorder="1" applyAlignment="1">
      <alignment horizontal="left" vertical="center" wrapText="1"/>
    </xf>
    <xf numFmtId="0" fontId="4" fillId="0" borderId="6" xfId="0" applyFont="1" applyBorder="1" applyAlignment="1">
      <alignment horizontal="left" vertical="center"/>
    </xf>
    <xf numFmtId="0" fontId="4" fillId="0" borderId="54" xfId="0" applyFont="1" applyBorder="1" applyAlignment="1">
      <alignment vertical="center"/>
    </xf>
    <xf numFmtId="0" fontId="4" fillId="0" borderId="6" xfId="0" applyFont="1" applyBorder="1" applyAlignment="1">
      <alignment horizontal="left" vertical="center" wrapText="1"/>
    </xf>
    <xf numFmtId="0" fontId="4" fillId="0" borderId="6" xfId="0" applyFont="1" applyBorder="1" applyAlignment="1">
      <alignment horizontal="left" vertical="center"/>
    </xf>
    <xf numFmtId="0" fontId="4" fillId="0" borderId="54" xfId="0" applyFont="1" applyBorder="1" applyAlignment="1">
      <alignment vertical="center"/>
    </xf>
    <xf numFmtId="0" fontId="4" fillId="0" borderId="6" xfId="0" applyFont="1" applyBorder="1" applyAlignment="1">
      <alignment horizontal="left" vertical="center" wrapText="1"/>
    </xf>
    <xf numFmtId="0" fontId="4" fillId="0" borderId="54" xfId="0" applyFont="1" applyBorder="1" applyAlignment="1">
      <alignment vertical="center"/>
    </xf>
    <xf numFmtId="0" fontId="4" fillId="0" borderId="6" xfId="0" applyFont="1" applyBorder="1" applyAlignment="1">
      <alignment horizontal="left" vertical="center" wrapText="1"/>
    </xf>
    <xf numFmtId="0" fontId="4" fillId="0" borderId="54" xfId="0" applyFont="1" applyBorder="1" applyAlignment="1">
      <alignment vertical="center"/>
    </xf>
    <xf numFmtId="0" fontId="4" fillId="0" borderId="6" xfId="0" applyFont="1" applyBorder="1" applyAlignment="1">
      <alignment horizontal="left" vertical="center" wrapText="1"/>
    </xf>
    <xf numFmtId="0" fontId="4" fillId="0" borderId="54" xfId="0" applyFont="1" applyBorder="1" applyAlignment="1">
      <alignment vertical="center"/>
    </xf>
    <xf numFmtId="0" fontId="4" fillId="0" borderId="6" xfId="0" applyFont="1" applyBorder="1" applyAlignment="1">
      <alignment horizontal="left" vertical="center" wrapText="1"/>
    </xf>
    <xf numFmtId="0" fontId="33" fillId="0" borderId="0" xfId="4" applyAlignment="1" applyProtection="1">
      <alignment horizontal="left" vertical="center" wrapText="1"/>
    </xf>
    <xf numFmtId="0" fontId="0" fillId="0" borderId="0" xfId="0"/>
    <xf numFmtId="0" fontId="0" fillId="0" borderId="0" xfId="0" applyBorder="1" applyAlignment="1">
      <alignment wrapText="1"/>
    </xf>
    <xf numFmtId="0" fontId="4" fillId="0" borderId="54" xfId="0" applyFont="1" applyBorder="1" applyAlignment="1">
      <alignment vertical="center"/>
    </xf>
    <xf numFmtId="0" fontId="4" fillId="3" borderId="0" xfId="0" applyFont="1" applyFill="1" applyAlignment="1">
      <alignment horizontal="left" wrapText="1"/>
    </xf>
    <xf numFmtId="0" fontId="4" fillId="0" borderId="54" xfId="0" applyFont="1" applyBorder="1" applyAlignment="1">
      <alignment vertical="center" wrapText="1"/>
    </xf>
    <xf numFmtId="0" fontId="4" fillId="0" borderId="6" xfId="0" applyFont="1" applyBorder="1" applyAlignment="1">
      <alignment horizontal="left" vertical="center"/>
    </xf>
    <xf numFmtId="0" fontId="4" fillId="0" borderId="49" xfId="0" applyFont="1" applyBorder="1" applyAlignment="1">
      <alignment horizontal="center" vertical="center"/>
    </xf>
    <xf numFmtId="0" fontId="9" fillId="0" borderId="54" xfId="0" applyFont="1" applyFill="1" applyBorder="1" applyAlignment="1">
      <alignment horizontal="left" vertical="center" wrapText="1"/>
    </xf>
    <xf numFmtId="0" fontId="4" fillId="0" borderId="6" xfId="0" applyFont="1" applyBorder="1" applyAlignment="1">
      <alignment horizontal="left" vertical="center" wrapText="1"/>
    </xf>
    <xf numFmtId="0" fontId="4" fillId="0" borderId="49" xfId="0" applyFont="1" applyBorder="1" applyAlignment="1">
      <alignment vertical="center" wrapText="1"/>
    </xf>
    <xf numFmtId="0" fontId="4" fillId="0" borderId="49" xfId="0" applyFont="1" applyBorder="1" applyAlignment="1">
      <alignment wrapText="1"/>
    </xf>
    <xf numFmtId="0" fontId="4" fillId="0" borderId="49" xfId="0" applyFont="1" applyBorder="1" applyAlignment="1">
      <alignment horizontal="center" vertical="center" wrapText="1"/>
    </xf>
    <xf numFmtId="9" fontId="4" fillId="0" borderId="49" xfId="0" applyNumberFormat="1" applyFont="1" applyBorder="1" applyAlignment="1">
      <alignment horizontal="center" vertical="center" wrapText="1"/>
    </xf>
    <xf numFmtId="0" fontId="4" fillId="0" borderId="49" xfId="0" applyFont="1" applyFill="1" applyBorder="1" applyAlignment="1">
      <alignment horizontal="left" vertical="center" wrapText="1"/>
    </xf>
    <xf numFmtId="0" fontId="33" fillId="0" borderId="49" xfId="4" applyBorder="1" applyAlignment="1" applyProtection="1">
      <alignment horizontal="left" vertical="center" wrapText="1"/>
    </xf>
    <xf numFmtId="9" fontId="33" fillId="0" borderId="49" xfId="4" applyNumberFormat="1" applyBorder="1" applyAlignment="1" applyProtection="1">
      <alignment horizontal="left" vertical="center" wrapText="1"/>
    </xf>
    <xf numFmtId="0" fontId="4" fillId="0" borderId="49" xfId="0" applyFont="1" applyBorder="1" applyAlignment="1">
      <alignment horizontal="center" vertical="center" wrapText="1"/>
    </xf>
    <xf numFmtId="0" fontId="0" fillId="10" borderId="0" xfId="0" applyFont="1" applyFill="1" applyAlignment="1">
      <alignment horizontal="left" vertical="top" wrapText="1"/>
    </xf>
    <xf numFmtId="0" fontId="0" fillId="0" borderId="0" xfId="0" applyAlignment="1">
      <alignment horizontal="left" vertical="top" wrapText="1"/>
    </xf>
    <xf numFmtId="0" fontId="29" fillId="0" borderId="0" xfId="2" applyFont="1" applyFill="1" applyAlignment="1">
      <alignment horizontal="center" vertical="center" wrapText="1"/>
    </xf>
    <xf numFmtId="0" fontId="2" fillId="0" borderId="49" xfId="0" applyFont="1" applyBorder="1" applyAlignment="1">
      <alignment horizontal="center"/>
    </xf>
    <xf numFmtId="0" fontId="0" fillId="0" borderId="49" xfId="0" applyFill="1" applyBorder="1" applyAlignment="1">
      <alignment horizontal="left"/>
    </xf>
    <xf numFmtId="0" fontId="0" fillId="0" borderId="49" xfId="0" applyFill="1" applyBorder="1" applyAlignment="1">
      <alignment horizontal="left" vertical="center" wrapText="1"/>
    </xf>
    <xf numFmtId="0" fontId="34" fillId="0" borderId="5" xfId="2" applyFont="1" applyBorder="1" applyAlignment="1">
      <alignment vertical="center" wrapText="1"/>
    </xf>
    <xf numFmtId="0" fontId="34" fillId="0" borderId="15" xfId="2" applyFont="1" applyBorder="1" applyAlignment="1">
      <alignment vertical="center" wrapText="1"/>
    </xf>
    <xf numFmtId="0" fontId="34" fillId="0" borderId="6" xfId="2" applyFont="1" applyBorder="1" applyAlignment="1">
      <alignment vertical="center" wrapText="1"/>
    </xf>
    <xf numFmtId="0" fontId="43" fillId="12" borderId="5" xfId="2" applyFont="1" applyFill="1" applyBorder="1" applyAlignment="1">
      <alignment horizontal="center" vertical="center"/>
    </xf>
    <xf numFmtId="0" fontId="43" fillId="12" borderId="15" xfId="2" applyFont="1" applyFill="1" applyBorder="1" applyAlignment="1">
      <alignment horizontal="center" vertical="center"/>
    </xf>
    <xf numFmtId="0" fontId="43" fillId="12" borderId="6" xfId="2" applyFont="1" applyFill="1" applyBorder="1" applyAlignment="1">
      <alignment horizontal="center" vertical="center"/>
    </xf>
    <xf numFmtId="168" fontId="39" fillId="0" borderId="0" xfId="2" applyNumberFormat="1" applyFont="1" applyFill="1" applyBorder="1" applyAlignment="1" applyProtection="1">
      <alignment horizontal="left" vertical="center" wrapText="1"/>
    </xf>
    <xf numFmtId="168" fontId="39" fillId="0" borderId="11" xfId="2" applyNumberFormat="1" applyFont="1" applyFill="1" applyBorder="1" applyAlignment="1" applyProtection="1">
      <alignment horizontal="left" vertical="center" wrapText="1"/>
    </xf>
    <xf numFmtId="168" fontId="39" fillId="0" borderId="0" xfId="2" applyNumberFormat="1" applyFont="1" applyFill="1" applyBorder="1" applyAlignment="1" applyProtection="1">
      <alignment horizontal="left" vertical="top" wrapText="1"/>
    </xf>
    <xf numFmtId="168" fontId="39" fillId="0" borderId="11" xfId="2" applyNumberFormat="1" applyFont="1" applyFill="1" applyBorder="1" applyAlignment="1" applyProtection="1">
      <alignment horizontal="left" vertical="top" wrapText="1"/>
    </xf>
    <xf numFmtId="0" fontId="36" fillId="0" borderId="39" xfId="2" applyFont="1" applyFill="1" applyBorder="1" applyAlignment="1">
      <alignment horizontal="center" vertical="center"/>
    </xf>
    <xf numFmtId="0" fontId="36" fillId="0" borderId="0" xfId="2" applyFont="1" applyFill="1" applyBorder="1" applyAlignment="1">
      <alignment horizontal="center" vertical="center"/>
    </xf>
    <xf numFmtId="0" fontId="36" fillId="0" borderId="11" xfId="2" applyFont="1" applyFill="1" applyBorder="1" applyAlignment="1">
      <alignment horizontal="center" vertical="center"/>
    </xf>
    <xf numFmtId="0" fontId="35" fillId="0" borderId="39" xfId="2" applyFont="1" applyFill="1" applyBorder="1" applyAlignment="1">
      <alignment horizontal="center" vertical="center"/>
    </xf>
    <xf numFmtId="0" fontId="35" fillId="0" borderId="0" xfId="2" applyFont="1" applyFill="1" applyBorder="1" applyAlignment="1">
      <alignment horizontal="center" vertical="center"/>
    </xf>
    <xf numFmtId="0" fontId="35" fillId="0" borderId="11" xfId="2" applyFont="1" applyFill="1" applyBorder="1" applyAlignment="1">
      <alignment horizontal="center" vertical="center"/>
    </xf>
    <xf numFmtId="0" fontId="36" fillId="0" borderId="39" xfId="2" applyFont="1" applyFill="1" applyBorder="1" applyAlignment="1">
      <alignment horizontal="center" vertical="center" wrapText="1"/>
    </xf>
    <xf numFmtId="0" fontId="36" fillId="0" borderId="0" xfId="2" applyFont="1" applyFill="1" applyBorder="1" applyAlignment="1">
      <alignment horizontal="center" vertical="center" wrapText="1"/>
    </xf>
    <xf numFmtId="0" fontId="36" fillId="0" borderId="11" xfId="2" applyFont="1" applyFill="1" applyBorder="1" applyAlignment="1">
      <alignment horizontal="center" vertical="center" wrapText="1"/>
    </xf>
    <xf numFmtId="0" fontId="35" fillId="0" borderId="1" xfId="2" applyFont="1" applyBorder="1" applyAlignment="1">
      <alignment horizontal="left" vertical="center"/>
    </xf>
    <xf numFmtId="0" fontId="35" fillId="0" borderId="1" xfId="2" applyFont="1" applyBorder="1" applyAlignment="1">
      <alignment horizontal="left" vertical="top" wrapText="1"/>
    </xf>
    <xf numFmtId="0" fontId="35" fillId="0" borderId="1" xfId="2" applyFont="1" applyBorder="1" applyAlignment="1">
      <alignment horizontal="left" vertical="center" wrapText="1"/>
    </xf>
    <xf numFmtId="0" fontId="35" fillId="0" borderId="0" xfId="2" applyFont="1" applyFill="1" applyBorder="1" applyAlignment="1">
      <alignment horizontal="left" vertical="center"/>
    </xf>
    <xf numFmtId="0" fontId="35" fillId="0" borderId="13" xfId="2" quotePrefix="1" applyFont="1" applyFill="1" applyBorder="1" applyAlignment="1">
      <alignment horizontal="center" vertical="center"/>
    </xf>
    <xf numFmtId="168" fontId="39" fillId="0" borderId="7" xfId="2" applyNumberFormat="1" applyFont="1" applyFill="1" applyBorder="1" applyAlignment="1" applyProtection="1">
      <alignment horizontal="left" vertical="center"/>
    </xf>
    <xf numFmtId="168" fontId="39" fillId="0" borderId="7" xfId="2" quotePrefix="1" applyNumberFormat="1" applyFont="1" applyFill="1" applyBorder="1" applyAlignment="1" applyProtection="1">
      <alignment horizontal="left" vertical="center"/>
    </xf>
    <xf numFmtId="168" fontId="39" fillId="0" borderId="0" xfId="2" applyNumberFormat="1" applyFont="1" applyFill="1" applyBorder="1" applyAlignment="1" applyProtection="1">
      <alignment horizontal="left" vertical="center"/>
    </xf>
    <xf numFmtId="168" fontId="39" fillId="0" borderId="0" xfId="2" quotePrefix="1" applyNumberFormat="1" applyFont="1" applyFill="1" applyBorder="1" applyAlignment="1" applyProtection="1">
      <alignment horizontal="left" vertical="center"/>
    </xf>
    <xf numFmtId="0" fontId="36" fillId="0" borderId="0" xfId="2" applyFont="1" applyFill="1" applyBorder="1" applyAlignment="1">
      <alignment horizontal="center" vertical="top"/>
    </xf>
    <xf numFmtId="0" fontId="35" fillId="0" borderId="13" xfId="2" quotePrefix="1" applyFont="1" applyFill="1" applyBorder="1" applyAlignment="1">
      <alignment horizontal="center" vertical="top"/>
    </xf>
    <xf numFmtId="0" fontId="0" fillId="10" borderId="0" xfId="0" applyFill="1" applyAlignment="1">
      <alignment horizontal="left" vertical="top" wrapText="1"/>
    </xf>
    <xf numFmtId="0" fontId="36" fillId="0" borderId="0" xfId="2" applyFont="1" applyFill="1" applyBorder="1" applyAlignment="1" applyProtection="1">
      <alignment horizontal="center" vertical="center"/>
    </xf>
    <xf numFmtId="0" fontId="35" fillId="0" borderId="9" xfId="2" applyFont="1" applyBorder="1" applyAlignment="1">
      <alignment horizontal="left" vertical="center" wrapText="1"/>
    </xf>
    <xf numFmtId="0" fontId="35" fillId="0" borderId="2" xfId="2" applyFont="1" applyBorder="1" applyAlignment="1">
      <alignment horizontal="left" vertical="center" wrapText="1"/>
    </xf>
    <xf numFmtId="0" fontId="35" fillId="0" borderId="5" xfId="2" applyFont="1" applyFill="1" applyBorder="1" applyAlignment="1">
      <alignment horizontal="center" vertical="center"/>
    </xf>
    <xf numFmtId="0" fontId="35" fillId="0" borderId="15" xfId="2" applyFont="1" applyFill="1" applyBorder="1" applyAlignment="1">
      <alignment horizontal="center" vertical="center"/>
    </xf>
    <xf numFmtId="0" fontId="35" fillId="0" borderId="6" xfId="2" applyFont="1" applyFill="1" applyBorder="1" applyAlignment="1">
      <alignment horizontal="center" vertical="center"/>
    </xf>
    <xf numFmtId="0" fontId="35" fillId="0" borderId="5" xfId="2" applyFont="1" applyBorder="1" applyAlignment="1">
      <alignment horizontal="left" vertical="center"/>
    </xf>
    <xf numFmtId="0" fontId="35" fillId="0" borderId="15" xfId="2" applyFont="1" applyBorder="1" applyAlignment="1">
      <alignment horizontal="left" vertical="center"/>
    </xf>
    <xf numFmtId="0" fontId="35" fillId="0" borderId="6" xfId="2" applyFont="1" applyBorder="1" applyAlignment="1">
      <alignment horizontal="left" vertical="center"/>
    </xf>
    <xf numFmtId="0" fontId="36" fillId="0" borderId="2" xfId="2" applyFont="1" applyFill="1" applyBorder="1" applyAlignment="1">
      <alignment horizontal="center" vertical="center" wrapText="1"/>
    </xf>
    <xf numFmtId="0" fontId="36" fillId="0" borderId="43" xfId="2" applyFont="1" applyFill="1" applyBorder="1" applyAlignment="1">
      <alignment horizontal="center" vertical="center" wrapText="1"/>
    </xf>
    <xf numFmtId="0" fontId="36" fillId="0" borderId="44" xfId="2" applyFont="1" applyFill="1" applyBorder="1" applyAlignment="1">
      <alignment horizontal="center" vertical="center" wrapText="1"/>
    </xf>
    <xf numFmtId="0" fontId="36" fillId="0" borderId="1" xfId="2" applyFont="1" applyFill="1" applyBorder="1" applyAlignment="1">
      <alignment horizontal="center" vertical="center"/>
    </xf>
    <xf numFmtId="0" fontId="36" fillId="0" borderId="44" xfId="2" applyFont="1" applyFill="1" applyBorder="1" applyAlignment="1">
      <alignment horizontal="center" vertical="center"/>
    </xf>
    <xf numFmtId="0" fontId="35" fillId="0" borderId="6" xfId="2" applyFont="1" applyBorder="1" applyAlignment="1">
      <alignment horizontal="left" vertical="center" wrapText="1"/>
    </xf>
    <xf numFmtId="0" fontId="36" fillId="0" borderId="5" xfId="2" applyFont="1" applyBorder="1" applyAlignment="1">
      <alignment horizontal="left" vertical="center" wrapText="1"/>
    </xf>
    <xf numFmtId="0" fontId="36" fillId="0" borderId="15" xfId="2" applyFont="1" applyBorder="1" applyAlignment="1">
      <alignment horizontal="left" vertical="center" wrapText="1"/>
    </xf>
    <xf numFmtId="0" fontId="36" fillId="0" borderId="6" xfId="2" applyFont="1" applyBorder="1" applyAlignment="1">
      <alignment horizontal="left" vertical="center" wrapText="1"/>
    </xf>
    <xf numFmtId="0" fontId="35" fillId="0" borderId="5" xfId="2" applyFont="1" applyBorder="1" applyAlignment="1">
      <alignment horizontal="left" vertical="top" wrapText="1"/>
    </xf>
    <xf numFmtId="0" fontId="35" fillId="0" borderId="15" xfId="2" applyFont="1" applyBorder="1" applyAlignment="1">
      <alignment horizontal="left" vertical="top" wrapText="1"/>
    </xf>
    <xf numFmtId="0" fontId="35" fillId="0" borderId="6" xfId="2" applyFont="1" applyBorder="1" applyAlignment="1">
      <alignment horizontal="left" vertical="top" wrapText="1"/>
    </xf>
    <xf numFmtId="0" fontId="35" fillId="0" borderId="5" xfId="2" applyFont="1" applyBorder="1" applyAlignment="1">
      <alignment horizontal="left" vertical="center" wrapText="1"/>
    </xf>
    <xf numFmtId="0" fontId="35" fillId="0" borderId="15" xfId="2" applyFont="1" applyBorder="1" applyAlignment="1">
      <alignment horizontal="left" vertical="center" wrapText="1"/>
    </xf>
    <xf numFmtId="0" fontId="35" fillId="0" borderId="42" xfId="2" applyFont="1" applyBorder="1" applyAlignment="1">
      <alignment horizontal="left" vertical="top" wrapText="1"/>
    </xf>
    <xf numFmtId="0" fontId="35" fillId="0" borderId="13" xfId="2" applyFont="1" applyBorder="1" applyAlignment="1">
      <alignment horizontal="left" vertical="top" wrapText="1"/>
    </xf>
    <xf numFmtId="0" fontId="35" fillId="0" borderId="14" xfId="2" applyFont="1" applyBorder="1" applyAlignment="1">
      <alignment horizontal="left" vertical="top" wrapText="1"/>
    </xf>
    <xf numFmtId="0" fontId="35" fillId="0" borderId="42" xfId="2" applyFont="1" applyBorder="1" applyAlignment="1">
      <alignment horizontal="left" vertical="center"/>
    </xf>
    <xf numFmtId="0" fontId="35" fillId="0" borderId="13" xfId="2" applyFont="1" applyBorder="1" applyAlignment="1">
      <alignment horizontal="left" vertical="center"/>
    </xf>
    <xf numFmtId="0" fontId="35" fillId="0" borderId="14" xfId="2" applyFont="1" applyBorder="1" applyAlignment="1">
      <alignment horizontal="left" vertical="center"/>
    </xf>
    <xf numFmtId="0" fontId="43" fillId="0" borderId="5" xfId="2" applyFont="1" applyBorder="1" applyAlignment="1">
      <alignment horizontal="center" vertical="center"/>
    </xf>
    <xf numFmtId="0" fontId="43" fillId="0" borderId="15" xfId="2" applyFont="1" applyBorder="1" applyAlignment="1">
      <alignment horizontal="center" vertical="center"/>
    </xf>
    <xf numFmtId="0" fontId="43" fillId="0" borderId="6" xfId="2" applyFont="1" applyBorder="1" applyAlignment="1">
      <alignment horizontal="center" vertical="center"/>
    </xf>
    <xf numFmtId="0" fontId="36" fillId="0" borderId="5" xfId="2" applyFont="1" applyFill="1" applyBorder="1" applyAlignment="1">
      <alignment horizontal="center" vertical="center"/>
    </xf>
    <xf numFmtId="0" fontId="36" fillId="0" borderId="15" xfId="2" applyFont="1" applyFill="1" applyBorder="1" applyAlignment="1">
      <alignment horizontal="center" vertical="center"/>
    </xf>
    <xf numFmtId="0" fontId="36" fillId="0" borderId="6" xfId="2" applyFont="1" applyFill="1" applyBorder="1" applyAlignment="1">
      <alignment horizontal="center" vertical="center"/>
    </xf>
    <xf numFmtId="166" fontId="35" fillId="0" borderId="15" xfId="2" applyNumberFormat="1" applyFont="1" applyBorder="1" applyAlignment="1">
      <alignment horizontal="left" vertical="center" wrapText="1"/>
    </xf>
    <xf numFmtId="166" fontId="35" fillId="0" borderId="6" xfId="2" applyNumberFormat="1" applyFont="1" applyBorder="1" applyAlignment="1">
      <alignment horizontal="left" vertical="center" wrapText="1"/>
    </xf>
    <xf numFmtId="0" fontId="35" fillId="0" borderId="8" xfId="2" applyFont="1" applyBorder="1" applyAlignment="1">
      <alignment horizontal="left" vertical="center" wrapText="1"/>
    </xf>
    <xf numFmtId="0" fontId="35" fillId="0" borderId="7" xfId="2" applyFont="1" applyBorder="1" applyAlignment="1">
      <alignment horizontal="left" vertical="center" wrapText="1"/>
    </xf>
    <xf numFmtId="0" fontId="35" fillId="0" borderId="42" xfId="2" applyFont="1" applyBorder="1" applyAlignment="1">
      <alignment horizontal="left" vertical="center" wrapText="1"/>
    </xf>
    <xf numFmtId="0" fontId="35" fillId="0" borderId="13" xfId="2" applyFont="1" applyBorder="1" applyAlignment="1">
      <alignment horizontal="left" vertical="center" wrapText="1"/>
    </xf>
    <xf numFmtId="0" fontId="35" fillId="0" borderId="14" xfId="2" applyFont="1" applyBorder="1" applyAlignment="1">
      <alignment horizontal="left" vertical="center" wrapText="1"/>
    </xf>
    <xf numFmtId="0" fontId="35" fillId="0" borderId="5" xfId="2" applyFont="1" applyBorder="1" applyAlignment="1">
      <alignment horizontal="left" vertical="center" shrinkToFit="1"/>
    </xf>
    <xf numFmtId="0" fontId="35" fillId="0" borderId="15" xfId="2" applyFont="1" applyBorder="1" applyAlignment="1">
      <alignment horizontal="left" vertical="center" shrinkToFit="1"/>
    </xf>
    <xf numFmtId="0" fontId="35" fillId="0" borderId="6" xfId="2" applyFont="1" applyBorder="1" applyAlignment="1">
      <alignment horizontal="left" vertical="center" shrinkToFit="1"/>
    </xf>
    <xf numFmtId="0" fontId="35" fillId="0" borderId="2" xfId="2" applyFont="1" applyFill="1" applyBorder="1" applyAlignment="1">
      <alignment horizontal="center" vertical="center" wrapText="1"/>
    </xf>
    <xf numFmtId="0" fontId="35" fillId="0" borderId="43" xfId="2" applyFont="1" applyFill="1" applyBorder="1" applyAlignment="1">
      <alignment horizontal="center" vertical="center" wrapText="1"/>
    </xf>
    <xf numFmtId="0" fontId="35" fillId="0" borderId="44" xfId="2" applyFont="1" applyFill="1" applyBorder="1" applyAlignment="1">
      <alignment horizontal="center" vertical="center" wrapText="1"/>
    </xf>
    <xf numFmtId="0" fontId="37" fillId="0" borderId="43" xfId="5" applyBorder="1"/>
    <xf numFmtId="0" fontId="37" fillId="0" borderId="44" xfId="5" applyBorder="1"/>
    <xf numFmtId="0" fontId="40" fillId="0" borderId="6" xfId="2" applyFont="1" applyBorder="1" applyAlignment="1">
      <alignment vertical="center" wrapText="1"/>
    </xf>
    <xf numFmtId="0" fontId="34" fillId="0" borderId="1" xfId="2" applyFont="1" applyBorder="1" applyAlignment="1">
      <alignment vertical="center" wrapText="1"/>
    </xf>
    <xf numFmtId="14" fontId="0" fillId="0" borderId="54" xfId="0" applyNumberFormat="1" applyFill="1" applyBorder="1" applyAlignment="1">
      <alignment horizontal="center"/>
    </xf>
    <xf numFmtId="14" fontId="0" fillId="0" borderId="15" xfId="0" applyNumberFormat="1" applyFill="1" applyBorder="1" applyAlignment="1">
      <alignment horizontal="center"/>
    </xf>
    <xf numFmtId="14" fontId="0" fillId="0" borderId="6" xfId="0" applyNumberFormat="1" applyFill="1" applyBorder="1" applyAlignment="1">
      <alignment horizontal="center"/>
    </xf>
    <xf numFmtId="0" fontId="0" fillId="0" borderId="44" xfId="0" applyBorder="1" applyAlignment="1">
      <alignment horizontal="left" vertical="center"/>
    </xf>
    <xf numFmtId="0" fontId="0" fillId="0" borderId="1" xfId="0" applyBorder="1" applyAlignment="1">
      <alignment horizontal="left" vertical="center"/>
    </xf>
    <xf numFmtId="0" fontId="0" fillId="0" borderId="2" xfId="0" applyBorder="1" applyAlignment="1">
      <alignment horizontal="left" vertical="center"/>
    </xf>
    <xf numFmtId="0" fontId="0" fillId="0" borderId="5" xfId="0" applyBorder="1" applyAlignment="1">
      <alignment horizontal="left" vertical="center"/>
    </xf>
    <xf numFmtId="0" fontId="0" fillId="0" borderId="15" xfId="0" applyBorder="1" applyAlignment="1">
      <alignment horizontal="left" vertical="center"/>
    </xf>
    <xf numFmtId="0" fontId="0" fillId="0" borderId="6" xfId="0" applyBorder="1" applyAlignment="1">
      <alignment horizontal="left" vertical="center"/>
    </xf>
    <xf numFmtId="0" fontId="34" fillId="0" borderId="5" xfId="2" applyFont="1" applyBorder="1" applyAlignment="1">
      <alignment horizontal="left" vertical="center" wrapText="1"/>
    </xf>
    <xf numFmtId="0" fontId="36" fillId="0" borderId="8" xfId="2" applyFont="1" applyBorder="1" applyAlignment="1">
      <alignment horizontal="left" vertical="center" wrapText="1"/>
    </xf>
    <xf numFmtId="0" fontId="36" fillId="0" borderId="7" xfId="2" applyFont="1" applyBorder="1" applyAlignment="1">
      <alignment horizontal="left" vertical="center" wrapText="1"/>
    </xf>
    <xf numFmtId="0" fontId="36" fillId="0" borderId="9" xfId="2" applyFont="1" applyBorder="1" applyAlignment="1">
      <alignment horizontal="left" vertical="center" wrapText="1"/>
    </xf>
    <xf numFmtId="0" fontId="35" fillId="0" borderId="8" xfId="2" applyFont="1" applyBorder="1" applyAlignment="1">
      <alignment horizontal="left" vertical="top" wrapText="1"/>
    </xf>
    <xf numFmtId="0" fontId="38" fillId="0" borderId="15" xfId="2" applyFont="1" applyBorder="1" applyAlignment="1">
      <alignment horizontal="left" vertical="top" wrapText="1"/>
    </xf>
    <xf numFmtId="0" fontId="37" fillId="0" borderId="15" xfId="5" applyBorder="1"/>
    <xf numFmtId="0" fontId="37" fillId="0" borderId="6" xfId="5" applyBorder="1"/>
    <xf numFmtId="0" fontId="0" fillId="0" borderId="49" xfId="0" quotePrefix="1" applyFill="1" applyBorder="1" applyAlignment="1">
      <alignment horizontal="left"/>
    </xf>
    <xf numFmtId="0" fontId="1" fillId="0" borderId="5"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5" xfId="0" applyFont="1" applyBorder="1" applyAlignment="1">
      <alignment horizontal="left"/>
    </xf>
    <xf numFmtId="0" fontId="1" fillId="0" borderId="15" xfId="0" applyFont="1" applyBorder="1" applyAlignment="1">
      <alignment horizontal="left"/>
    </xf>
    <xf numFmtId="0" fontId="1" fillId="0" borderId="6" xfId="0" applyFont="1" applyBorder="1" applyAlignment="1">
      <alignment horizontal="left"/>
    </xf>
    <xf numFmtId="0" fontId="1" fillId="0" borderId="5" xfId="0" applyFont="1" applyFill="1" applyBorder="1" applyAlignment="1">
      <alignment horizontal="center" wrapText="1"/>
    </xf>
    <xf numFmtId="0" fontId="1" fillId="0" borderId="15" xfId="0" applyFont="1" applyFill="1" applyBorder="1" applyAlignment="1">
      <alignment horizontal="center" wrapText="1"/>
    </xf>
    <xf numFmtId="0" fontId="1" fillId="0" borderId="6" xfId="0" applyFont="1" applyFill="1" applyBorder="1" applyAlignment="1">
      <alignment horizontal="center" wrapText="1"/>
    </xf>
    <xf numFmtId="0" fontId="1" fillId="0" borderId="5" xfId="0" applyFont="1" applyBorder="1" applyAlignment="1">
      <alignment horizontal="center" wrapText="1"/>
    </xf>
    <xf numFmtId="0" fontId="1" fillId="0" borderId="15" xfId="0" applyFont="1" applyBorder="1" applyAlignment="1">
      <alignment horizontal="center" wrapText="1"/>
    </xf>
    <xf numFmtId="0" fontId="1" fillId="0" borderId="6" xfId="0" applyFont="1" applyBorder="1" applyAlignment="1">
      <alignment horizontal="center" wrapText="1"/>
    </xf>
    <xf numFmtId="0" fontId="0" fillId="0" borderId="54" xfId="0" applyFill="1" applyBorder="1" applyAlignment="1">
      <alignment horizontal="left" wrapText="1"/>
    </xf>
    <xf numFmtId="0" fontId="0" fillId="0" borderId="15" xfId="0" applyFill="1" applyBorder="1" applyAlignment="1">
      <alignment horizontal="left" wrapText="1"/>
    </xf>
    <xf numFmtId="0" fontId="0" fillId="0" borderId="6" xfId="0" applyFill="1" applyBorder="1" applyAlignment="1">
      <alignment horizontal="left" wrapText="1"/>
    </xf>
    <xf numFmtId="0" fontId="3" fillId="0" borderId="0" xfId="0" applyFont="1" applyAlignment="1">
      <alignment horizontal="left" wrapText="1"/>
    </xf>
    <xf numFmtId="0" fontId="0" fillId="0" borderId="0" xfId="0" applyBorder="1" applyAlignment="1">
      <alignment horizontal="left" vertical="top" wrapText="1"/>
    </xf>
    <xf numFmtId="0" fontId="0" fillId="0" borderId="0" xfId="0" applyBorder="1" applyAlignment="1">
      <alignment horizontal="center" wrapText="1"/>
    </xf>
    <xf numFmtId="0" fontId="3" fillId="0" borderId="0" xfId="0" applyFont="1" applyBorder="1" applyAlignment="1">
      <alignment horizontal="left" wrapText="1"/>
    </xf>
    <xf numFmtId="0" fontId="0" fillId="0" borderId="0" xfId="0" applyAlignment="1">
      <alignment horizontal="center"/>
    </xf>
    <xf numFmtId="0" fontId="0" fillId="0" borderId="0" xfId="0" applyNumberFormat="1" applyAlignment="1">
      <alignment horizontal="center" wrapText="1"/>
    </xf>
    <xf numFmtId="0" fontId="6" fillId="0" borderId="0" xfId="0" applyFont="1" applyAlignment="1">
      <alignment horizontal="left" vertical="top" wrapText="1"/>
    </xf>
    <xf numFmtId="0" fontId="2" fillId="0" borderId="0" xfId="0" applyFont="1" applyAlignment="1">
      <alignment horizontal="center" vertical="center" wrapText="1"/>
    </xf>
    <xf numFmtId="0" fontId="0" fillId="0" borderId="0" xfId="0" applyAlignment="1">
      <alignment horizontal="left" wrapText="1"/>
    </xf>
    <xf numFmtId="0" fontId="1" fillId="0" borderId="1" xfId="0" applyFont="1" applyBorder="1" applyAlignment="1">
      <alignment horizontal="left" wrapText="1"/>
    </xf>
    <xf numFmtId="0" fontId="1" fillId="0" borderId="1" xfId="0" applyFont="1" applyBorder="1" applyAlignment="1">
      <alignment horizontal="left" vertical="top" wrapText="1"/>
    </xf>
    <xf numFmtId="0" fontId="0" fillId="0" borderId="5" xfId="0" applyFill="1" applyBorder="1" applyAlignment="1">
      <alignment horizontal="left" wrapText="1"/>
    </xf>
    <xf numFmtId="0" fontId="0" fillId="0" borderId="5" xfId="0" applyFill="1" applyBorder="1" applyAlignment="1">
      <alignment horizontal="left"/>
    </xf>
    <xf numFmtId="0" fontId="0" fillId="0" borderId="15" xfId="0" applyFill="1" applyBorder="1" applyAlignment="1">
      <alignment horizontal="left"/>
    </xf>
    <xf numFmtId="0" fontId="0" fillId="0" borderId="6" xfId="0" applyFill="1" applyBorder="1" applyAlignment="1">
      <alignment horizontal="left"/>
    </xf>
    <xf numFmtId="0" fontId="4" fillId="0" borderId="2" xfId="0" applyFont="1" applyBorder="1" applyAlignment="1">
      <alignment horizontal="center" vertical="center"/>
    </xf>
    <xf numFmtId="0" fontId="4" fillId="0" borderId="4" xfId="0" applyFont="1" applyBorder="1" applyAlignment="1">
      <alignment horizontal="center" vertical="center"/>
    </xf>
    <xf numFmtId="2" fontId="4" fillId="0" borderId="2" xfId="0" applyNumberFormat="1" applyFont="1" applyBorder="1" applyAlignment="1">
      <alignment horizontal="center" vertical="center" wrapText="1"/>
    </xf>
    <xf numFmtId="2" fontId="4" fillId="0" borderId="44" xfId="0" applyNumberFormat="1" applyFont="1" applyBorder="1" applyAlignment="1">
      <alignment horizontal="center" vertical="center" wrapText="1"/>
    </xf>
    <xf numFmtId="0" fontId="9" fillId="3" borderId="49" xfId="0" applyFont="1" applyFill="1" applyBorder="1" applyAlignment="1">
      <alignment horizontal="center" vertical="center" wrapText="1"/>
    </xf>
    <xf numFmtId="0" fontId="4" fillId="0" borderId="49"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4" xfId="0" applyFont="1" applyBorder="1" applyAlignment="1">
      <alignment horizontal="center" vertical="center" wrapText="1"/>
    </xf>
    <xf numFmtId="0" fontId="9" fillId="3" borderId="1" xfId="0" applyFont="1" applyFill="1" applyBorder="1" applyAlignment="1">
      <alignment horizontal="center" vertical="center" wrapText="1"/>
    </xf>
    <xf numFmtId="0" fontId="4" fillId="0" borderId="2" xfId="0" applyFont="1" applyBorder="1" applyAlignment="1">
      <alignment horizontal="right" vertical="center" wrapText="1"/>
    </xf>
    <xf numFmtId="0" fontId="4" fillId="0" borderId="44" xfId="0" applyFont="1" applyBorder="1" applyAlignment="1">
      <alignment horizontal="right" vertical="center" wrapText="1"/>
    </xf>
    <xf numFmtId="0" fontId="0" fillId="0" borderId="5" xfId="0" applyBorder="1" applyAlignment="1">
      <alignment horizontal="left" wrapText="1"/>
    </xf>
    <xf numFmtId="0" fontId="0" fillId="0" borderId="6" xfId="0" applyBorder="1" applyAlignment="1">
      <alignment horizontal="left"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4" fillId="0" borderId="1" xfId="0" applyFont="1" applyBorder="1" applyAlignment="1">
      <alignment horizontal="center" vertical="center" wrapText="1"/>
    </xf>
    <xf numFmtId="0" fontId="0" fillId="0" borderId="0" xfId="0" applyBorder="1" applyAlignment="1">
      <alignment horizontal="center" vertical="center" wrapText="1"/>
    </xf>
    <xf numFmtId="0" fontId="9" fillId="4" borderId="2" xfId="0" applyFont="1" applyFill="1" applyBorder="1" applyAlignment="1">
      <alignment horizontal="center" vertical="center" wrapText="1"/>
    </xf>
    <xf numFmtId="0" fontId="9" fillId="4" borderId="4" xfId="0" applyFont="1" applyFill="1" applyBorder="1" applyAlignment="1">
      <alignment horizontal="center" vertical="center" wrapText="1"/>
    </xf>
    <xf numFmtId="0" fontId="9" fillId="4" borderId="44" xfId="0" applyFont="1" applyFill="1" applyBorder="1" applyAlignment="1">
      <alignment horizontal="center" vertical="center" wrapText="1"/>
    </xf>
    <xf numFmtId="0" fontId="0" fillId="0" borderId="10" xfId="0" applyBorder="1" applyAlignment="1">
      <alignment horizontal="center" vertical="center" wrapText="1"/>
    </xf>
    <xf numFmtId="2" fontId="4" fillId="0" borderId="1" xfId="0" applyNumberFormat="1" applyFont="1" applyBorder="1" applyAlignment="1">
      <alignment horizontal="center" vertical="center" wrapText="1"/>
    </xf>
    <xf numFmtId="0" fontId="9" fillId="3" borderId="2" xfId="0" applyFont="1" applyFill="1" applyBorder="1" applyAlignment="1">
      <alignment horizontal="center" vertical="center" wrapText="1"/>
    </xf>
    <xf numFmtId="0" fontId="9" fillId="3" borderId="44" xfId="0" applyFont="1" applyFill="1" applyBorder="1" applyAlignment="1">
      <alignment horizontal="center" vertical="center" wrapText="1"/>
    </xf>
    <xf numFmtId="0" fontId="0" fillId="0" borderId="39" xfId="0" applyBorder="1" applyAlignment="1">
      <alignment horizontal="center" wrapText="1"/>
    </xf>
    <xf numFmtId="0" fontId="4" fillId="0" borderId="4" xfId="0" applyFont="1" applyBorder="1" applyAlignment="1">
      <alignment horizontal="right" vertical="center" wrapText="1"/>
    </xf>
    <xf numFmtId="0" fontId="0" fillId="0" borderId="1" xfId="0" applyBorder="1" applyAlignment="1">
      <alignment horizontal="center" vertical="center" wrapText="1"/>
    </xf>
    <xf numFmtId="0" fontId="4" fillId="3" borderId="1"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0" fillId="0" borderId="0" xfId="0" applyAlignment="1">
      <alignment horizontal="left" vertical="center" wrapText="1"/>
    </xf>
    <xf numFmtId="0" fontId="1" fillId="0" borderId="2" xfId="0" applyFont="1" applyBorder="1" applyAlignment="1">
      <alignment horizontal="center" vertical="center" wrapText="1"/>
    </xf>
    <xf numFmtId="0" fontId="1" fillId="0" borderId="43" xfId="0" applyFont="1" applyBorder="1" applyAlignment="1">
      <alignment horizontal="center" vertical="center" wrapText="1"/>
    </xf>
    <xf numFmtId="0" fontId="1" fillId="0" borderId="4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0" fillId="0" borderId="5" xfId="0" applyFont="1" applyBorder="1" applyAlignment="1">
      <alignment horizontal="left" vertical="top" wrapText="1"/>
    </xf>
    <xf numFmtId="0" fontId="0" fillId="0" borderId="15" xfId="0" applyFont="1" applyBorder="1" applyAlignment="1">
      <alignment horizontal="left" vertical="top" wrapText="1"/>
    </xf>
    <xf numFmtId="0" fontId="0" fillId="0" borderId="6" xfId="0" applyFont="1" applyBorder="1" applyAlignment="1">
      <alignment horizontal="left" vertical="top" wrapText="1"/>
    </xf>
    <xf numFmtId="15" fontId="4" fillId="0" borderId="2" xfId="0" applyNumberFormat="1" applyFont="1" applyBorder="1" applyAlignment="1">
      <alignment horizontal="center" vertical="center" wrapText="1"/>
    </xf>
    <xf numFmtId="0" fontId="4" fillId="0" borderId="44" xfId="0" applyFont="1" applyBorder="1" applyAlignment="1">
      <alignment horizontal="center" vertical="center"/>
    </xf>
    <xf numFmtId="0" fontId="1" fillId="0" borderId="54" xfId="0" applyFont="1" applyBorder="1" applyAlignment="1">
      <alignment horizontal="center" vertical="center" wrapText="1"/>
    </xf>
    <xf numFmtId="0" fontId="0" fillId="0" borderId="49" xfId="0" applyBorder="1" applyAlignment="1">
      <alignment horizontal="center" vertical="center" wrapText="1"/>
    </xf>
    <xf numFmtId="0" fontId="0" fillId="0" borderId="1" xfId="0" applyBorder="1" applyAlignment="1">
      <alignment horizontal="center" wrapText="1"/>
    </xf>
    <xf numFmtId="0" fontId="1" fillId="0" borderId="2" xfId="0" applyFont="1" applyBorder="1" applyAlignment="1">
      <alignment horizontal="center" vertical="distributed" wrapText="1"/>
    </xf>
    <xf numFmtId="0" fontId="1" fillId="0" borderId="3" xfId="0" applyFont="1" applyBorder="1" applyAlignment="1">
      <alignment horizontal="center" vertical="distributed" wrapText="1"/>
    </xf>
    <xf numFmtId="0" fontId="1" fillId="0" borderId="4" xfId="0" applyFont="1" applyBorder="1" applyAlignment="1">
      <alignment horizontal="center" vertical="distributed" wrapText="1"/>
    </xf>
    <xf numFmtId="0" fontId="1" fillId="0" borderId="8"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2" fillId="0" borderId="0" xfId="0" applyFont="1" applyBorder="1" applyAlignment="1">
      <alignment horizontal="center" vertical="center" wrapText="1"/>
    </xf>
    <xf numFmtId="0" fontId="0" fillId="0" borderId="1" xfId="0" applyBorder="1" applyAlignment="1">
      <alignment horizontal="left" vertical="center" wrapText="1"/>
    </xf>
    <xf numFmtId="0" fontId="0" fillId="0" borderId="1" xfId="0" applyFont="1" applyBorder="1" applyAlignment="1">
      <alignment horizontal="left" vertical="center" wrapText="1"/>
    </xf>
    <xf numFmtId="0" fontId="1" fillId="0" borderId="5" xfId="0" applyFont="1" applyBorder="1" applyAlignment="1">
      <alignment horizontal="left" vertical="top"/>
    </xf>
    <xf numFmtId="0" fontId="1" fillId="0" borderId="15" xfId="0" applyFont="1" applyBorder="1" applyAlignment="1">
      <alignment horizontal="left" vertical="top"/>
    </xf>
    <xf numFmtId="0" fontId="1" fillId="0" borderId="1" xfId="0" applyFont="1" applyBorder="1" applyAlignment="1">
      <alignment horizontal="center" vertical="center" wrapText="1"/>
    </xf>
    <xf numFmtId="0" fontId="0" fillId="0" borderId="0" xfId="0" applyBorder="1" applyAlignment="1">
      <alignment horizontal="left" vertical="center" wrapText="1"/>
    </xf>
    <xf numFmtId="0" fontId="0" fillId="0" borderId="11" xfId="0" applyBorder="1" applyAlignment="1">
      <alignment horizontal="center"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2" fontId="4" fillId="0" borderId="2" xfId="0" applyNumberFormat="1" applyFont="1" applyFill="1" applyBorder="1" applyAlignment="1">
      <alignment horizontal="center" vertical="center"/>
    </xf>
    <xf numFmtId="2" fontId="4" fillId="0" borderId="44" xfId="0" applyNumberFormat="1" applyFont="1" applyFill="1" applyBorder="1" applyAlignment="1">
      <alignment horizontal="center" vertical="center"/>
    </xf>
    <xf numFmtId="0" fontId="4" fillId="0" borderId="49" xfId="2" applyFont="1" applyFill="1" applyBorder="1" applyAlignment="1">
      <alignment horizontal="left" vertical="center" wrapText="1"/>
    </xf>
    <xf numFmtId="0" fontId="0" fillId="0" borderId="49" xfId="0" applyFill="1" applyBorder="1" applyAlignment="1">
      <alignment horizontal="center" vertical="center"/>
    </xf>
    <xf numFmtId="0" fontId="4" fillId="0" borderId="2" xfId="0" applyFont="1" applyFill="1" applyBorder="1" applyAlignment="1">
      <alignment horizontal="center" vertical="center" wrapText="1"/>
    </xf>
    <xf numFmtId="0" fontId="4" fillId="0" borderId="44" xfId="0" applyFont="1" applyFill="1" applyBorder="1" applyAlignment="1">
      <alignment horizontal="center" vertical="center" wrapText="1"/>
    </xf>
    <xf numFmtId="0" fontId="4" fillId="0" borderId="2" xfId="0" applyFont="1" applyFill="1" applyBorder="1" applyAlignment="1">
      <alignment horizontal="center" vertical="center"/>
    </xf>
    <xf numFmtId="0" fontId="4" fillId="0" borderId="44" xfId="0" applyFont="1" applyFill="1" applyBorder="1" applyAlignment="1">
      <alignment horizontal="center" vertical="center"/>
    </xf>
    <xf numFmtId="0" fontId="0" fillId="14" borderId="54" xfId="0" applyFill="1" applyBorder="1" applyAlignment="1">
      <alignment horizontal="left" vertical="center"/>
    </xf>
    <xf numFmtId="0" fontId="0" fillId="14" borderId="15" xfId="0" applyFill="1" applyBorder="1" applyAlignment="1">
      <alignment horizontal="left" vertical="center"/>
    </xf>
    <xf numFmtId="49" fontId="0" fillId="0" borderId="0" xfId="0" applyNumberFormat="1" applyBorder="1" applyAlignment="1">
      <alignment horizontal="center"/>
    </xf>
    <xf numFmtId="49" fontId="0" fillId="0" borderId="0" xfId="0" applyNumberFormat="1" applyAlignment="1">
      <alignment horizontal="center" wrapText="1"/>
    </xf>
    <xf numFmtId="0" fontId="0" fillId="0" borderId="9" xfId="0" applyFill="1" applyBorder="1" applyAlignment="1">
      <alignment horizontal="center" vertical="center" wrapText="1"/>
    </xf>
    <xf numFmtId="0" fontId="0" fillId="0" borderId="14" xfId="0" applyFill="1" applyBorder="1" applyAlignment="1">
      <alignment horizontal="center" vertical="center" wrapText="1"/>
    </xf>
    <xf numFmtId="2" fontId="2" fillId="0" borderId="49" xfId="0" applyNumberFormat="1" applyFont="1" applyFill="1" applyBorder="1" applyAlignment="1">
      <alignment horizontal="center" vertical="center"/>
    </xf>
    <xf numFmtId="0" fontId="0" fillId="0" borderId="44" xfId="0" applyFill="1" applyBorder="1" applyAlignment="1">
      <alignment horizontal="center" vertical="center"/>
    </xf>
    <xf numFmtId="2" fontId="4" fillId="0" borderId="43" xfId="0" applyNumberFormat="1" applyFont="1" applyFill="1" applyBorder="1" applyAlignment="1">
      <alignment horizontal="center" vertical="center"/>
    </xf>
    <xf numFmtId="0" fontId="4" fillId="0" borderId="43" xfId="0" applyFont="1" applyFill="1" applyBorder="1" applyAlignment="1">
      <alignment horizontal="center" vertical="center"/>
    </xf>
    <xf numFmtId="0" fontId="4" fillId="0" borderId="43" xfId="0" applyFont="1" applyFill="1" applyBorder="1" applyAlignment="1">
      <alignment horizontal="center" vertical="center" wrapText="1"/>
    </xf>
    <xf numFmtId="0" fontId="0" fillId="0" borderId="2" xfId="0" applyFill="1" applyBorder="1" applyAlignment="1">
      <alignment horizontal="center" vertical="center"/>
    </xf>
    <xf numFmtId="0" fontId="0" fillId="0" borderId="49" xfId="0" applyFont="1" applyBorder="1" applyAlignment="1">
      <alignment horizontal="left" vertical="center" wrapText="1"/>
    </xf>
    <xf numFmtId="0" fontId="0" fillId="0" borderId="49" xfId="0" applyFont="1" applyBorder="1" applyAlignment="1">
      <alignment horizontal="left" vertical="top" wrapText="1"/>
    </xf>
    <xf numFmtId="0" fontId="0" fillId="0" borderId="49" xfId="0" applyBorder="1" applyAlignment="1">
      <alignment horizontal="left" vertical="center" wrapText="1"/>
    </xf>
    <xf numFmtId="0" fontId="0" fillId="0" borderId="49" xfId="0" quotePrefix="1" applyFont="1" applyBorder="1" applyAlignment="1">
      <alignment horizontal="left" vertical="top" wrapText="1"/>
    </xf>
    <xf numFmtId="0" fontId="1" fillId="0" borderId="49" xfId="0" applyFont="1" applyBorder="1" applyAlignment="1">
      <alignment horizontal="center" vertical="center" wrapText="1"/>
    </xf>
    <xf numFmtId="0" fontId="0" fillId="0" borderId="7" xfId="0" applyBorder="1" applyAlignment="1">
      <alignment horizontal="left" vertical="top" wrapText="1"/>
    </xf>
    <xf numFmtId="0" fontId="0" fillId="0" borderId="5" xfId="0" applyFill="1" applyBorder="1" applyAlignment="1">
      <alignment wrapText="1"/>
    </xf>
    <xf numFmtId="0" fontId="0" fillId="0" borderId="15" xfId="0" applyFill="1" applyBorder="1" applyAlignment="1">
      <alignment wrapText="1"/>
    </xf>
    <xf numFmtId="0" fontId="0" fillId="0" borderId="6" xfId="0" applyFill="1" applyBorder="1" applyAlignment="1">
      <alignment wrapText="1"/>
    </xf>
    <xf numFmtId="0" fontId="1" fillId="0" borderId="5" xfId="0" applyFont="1" applyBorder="1" applyAlignment="1">
      <alignment horizontal="left" vertical="center"/>
    </xf>
    <xf numFmtId="0" fontId="1" fillId="0" borderId="15" xfId="0" applyFont="1" applyBorder="1" applyAlignment="1">
      <alignment horizontal="left" vertical="center"/>
    </xf>
    <xf numFmtId="0" fontId="1" fillId="0" borderId="6" xfId="0" applyFont="1" applyBorder="1" applyAlignment="1">
      <alignment horizontal="left" vertical="center"/>
    </xf>
    <xf numFmtId="0" fontId="1" fillId="0" borderId="5" xfId="0" applyFont="1" applyBorder="1" applyAlignment="1">
      <alignment horizontal="left" vertical="center" wrapText="1"/>
    </xf>
    <xf numFmtId="0" fontId="0" fillId="0" borderId="0" xfId="0" applyBorder="1" applyAlignment="1">
      <alignment horizontal="center"/>
    </xf>
    <xf numFmtId="0" fontId="0" fillId="0" borderId="13" xfId="0" applyBorder="1" applyAlignment="1">
      <alignment horizontal="center"/>
    </xf>
    <xf numFmtId="0" fontId="4" fillId="0" borderId="15" xfId="0" applyFont="1" applyFill="1" applyBorder="1" applyAlignment="1">
      <alignment horizontal="left" vertical="center" wrapText="1"/>
    </xf>
    <xf numFmtId="0" fontId="4" fillId="0" borderId="6" xfId="0" applyFont="1" applyFill="1" applyBorder="1" applyAlignment="1">
      <alignment horizontal="left" vertical="center" wrapText="1"/>
    </xf>
    <xf numFmtId="0" fontId="12" fillId="0" borderId="0" xfId="6" applyBorder="1" applyAlignment="1">
      <alignment horizontal="center"/>
    </xf>
    <xf numFmtId="0" fontId="12" fillId="0" borderId="13" xfId="6" applyBorder="1" applyAlignment="1">
      <alignment horizontal="center" wrapText="1"/>
    </xf>
    <xf numFmtId="0" fontId="12" fillId="0" borderId="13" xfId="6" applyBorder="1" applyAlignment="1">
      <alignment horizontal="center"/>
    </xf>
    <xf numFmtId="0" fontId="33" fillId="0" borderId="5" xfId="4" applyFill="1" applyBorder="1" applyAlignment="1" applyProtection="1">
      <alignment vertical="center" wrapText="1"/>
    </xf>
    <xf numFmtId="0" fontId="33" fillId="0" borderId="6" xfId="4" applyFill="1" applyBorder="1" applyAlignment="1" applyProtection="1">
      <alignment vertical="center" wrapText="1"/>
    </xf>
    <xf numFmtId="2" fontId="4" fillId="0" borderId="15" xfId="6" applyNumberFormat="1" applyFont="1" applyFill="1" applyBorder="1" applyAlignment="1">
      <alignment horizontal="center" vertical="center" wrapText="1"/>
    </xf>
    <xf numFmtId="2" fontId="4" fillId="0" borderId="6" xfId="6" applyNumberFormat="1" applyFont="1" applyFill="1" applyBorder="1" applyAlignment="1">
      <alignment horizontal="center" vertical="center" wrapText="1"/>
    </xf>
    <xf numFmtId="0" fontId="45" fillId="0" borderId="5" xfId="4" applyFont="1" applyFill="1" applyBorder="1" applyAlignment="1" applyProtection="1">
      <alignment vertical="center" wrapText="1"/>
    </xf>
    <xf numFmtId="0" fontId="45" fillId="0" borderId="6" xfId="4" applyFont="1" applyFill="1" applyBorder="1" applyAlignment="1" applyProtection="1">
      <alignment vertical="center" wrapText="1"/>
    </xf>
    <xf numFmtId="2" fontId="13" fillId="8" borderId="26" xfId="0" applyNumberFormat="1" applyFont="1" applyFill="1" applyBorder="1" applyAlignment="1">
      <alignment horizontal="center" vertical="center"/>
    </xf>
    <xf numFmtId="2" fontId="13" fillId="8" borderId="55" xfId="0" applyNumberFormat="1" applyFont="1" applyFill="1" applyBorder="1" applyAlignment="1">
      <alignment horizontal="center" vertical="center"/>
    </xf>
    <xf numFmtId="2" fontId="14" fillId="0" borderId="26" xfId="0" applyNumberFormat="1" applyFont="1" applyBorder="1" applyAlignment="1">
      <alignment horizontal="center" vertical="center"/>
    </xf>
    <xf numFmtId="2" fontId="14" fillId="0" borderId="15" xfId="0" applyNumberFormat="1" applyFont="1" applyBorder="1" applyAlignment="1">
      <alignment horizontal="center" vertical="center"/>
    </xf>
    <xf numFmtId="2" fontId="14" fillId="0" borderId="55" xfId="0" applyNumberFormat="1" applyFont="1" applyBorder="1" applyAlignment="1">
      <alignment horizontal="center" vertical="center"/>
    </xf>
    <xf numFmtId="0" fontId="13" fillId="0" borderId="0" xfId="0" applyFont="1" applyAlignment="1">
      <alignment horizontal="center"/>
    </xf>
    <xf numFmtId="9" fontId="14" fillId="8" borderId="19" xfId="1" applyFont="1" applyFill="1" applyBorder="1" applyAlignment="1">
      <alignment horizontal="right" vertical="center"/>
    </xf>
    <xf numFmtId="9" fontId="14" fillId="8" borderId="23" xfId="1" applyFont="1" applyFill="1" applyBorder="1" applyAlignment="1">
      <alignment horizontal="right" vertical="center"/>
    </xf>
    <xf numFmtId="165" fontId="14" fillId="0" borderId="19" xfId="1" applyNumberFormat="1" applyFont="1" applyFill="1" applyBorder="1" applyAlignment="1">
      <alignment horizontal="right" vertical="center"/>
    </xf>
    <xf numFmtId="165" fontId="14" fillId="0" borderId="23" xfId="1" applyNumberFormat="1" applyFont="1" applyFill="1" applyBorder="1" applyAlignment="1">
      <alignment horizontal="right" vertical="center"/>
    </xf>
    <xf numFmtId="2" fontId="14" fillId="7" borderId="1" xfId="0" applyNumberFormat="1" applyFont="1" applyFill="1" applyBorder="1" applyAlignment="1">
      <alignment horizontal="right" vertical="center"/>
    </xf>
    <xf numFmtId="2" fontId="14" fillId="0" borderId="18" xfId="0" applyNumberFormat="1" applyFont="1" applyBorder="1" applyAlignment="1">
      <alignment horizontal="right" vertical="center"/>
    </xf>
    <xf numFmtId="2" fontId="14" fillId="0" borderId="20" xfId="0" applyNumberFormat="1" applyFont="1" applyBorder="1" applyAlignment="1">
      <alignment horizontal="right" vertical="center"/>
    </xf>
    <xf numFmtId="9" fontId="14" fillId="0" borderId="19" xfId="1" applyFont="1" applyBorder="1" applyAlignment="1">
      <alignment horizontal="center" vertical="center"/>
    </xf>
    <xf numFmtId="9" fontId="14" fillId="0" borderId="23" xfId="1" applyFont="1" applyBorder="1" applyAlignment="1">
      <alignment horizontal="center" vertical="center"/>
    </xf>
    <xf numFmtId="2" fontId="14" fillId="8" borderId="18" xfId="0" applyNumberFormat="1" applyFont="1" applyFill="1" applyBorder="1" applyAlignment="1">
      <alignment horizontal="center" vertical="center"/>
    </xf>
    <xf numFmtId="2" fontId="14" fillId="8" borderId="20" xfId="0" applyNumberFormat="1" applyFont="1" applyFill="1" applyBorder="1" applyAlignment="1">
      <alignment horizontal="center" vertical="center"/>
    </xf>
    <xf numFmtId="2" fontId="14" fillId="0" borderId="2" xfId="0" applyNumberFormat="1" applyFont="1" applyBorder="1" applyAlignment="1">
      <alignment horizontal="right" vertical="center"/>
    </xf>
    <xf numFmtId="2" fontId="14" fillId="0" borderId="44" xfId="0" applyNumberFormat="1" applyFont="1" applyBorder="1" applyAlignment="1">
      <alignment horizontal="right" vertical="center"/>
    </xf>
    <xf numFmtId="169" fontId="13" fillId="0" borderId="15" xfId="0" applyNumberFormat="1" applyFont="1" applyBorder="1" applyAlignment="1">
      <alignment horizontal="left"/>
    </xf>
    <xf numFmtId="169" fontId="13" fillId="0" borderId="6" xfId="0" applyNumberFormat="1" applyFont="1" applyBorder="1" applyAlignment="1">
      <alignment horizontal="left"/>
    </xf>
    <xf numFmtId="0" fontId="13" fillId="0" borderId="29" xfId="0" applyFont="1" applyBorder="1" applyAlignment="1">
      <alignment horizontal="right" vertical="center"/>
    </xf>
    <xf numFmtId="0" fontId="13" fillId="0" borderId="30" xfId="0" applyFont="1" applyBorder="1" applyAlignment="1">
      <alignment horizontal="right" vertical="center"/>
    </xf>
    <xf numFmtId="0" fontId="14" fillId="0" borderId="5" xfId="0" applyFont="1" applyBorder="1" applyAlignment="1">
      <alignment horizontal="left" vertical="top"/>
    </xf>
    <xf numFmtId="0" fontId="14" fillId="0" borderId="6" xfId="0" applyFont="1" applyBorder="1" applyAlignment="1">
      <alignment horizontal="left" vertical="top"/>
    </xf>
    <xf numFmtId="0" fontId="13" fillId="0" borderId="26" xfId="0" applyFont="1" applyBorder="1" applyAlignment="1">
      <alignment horizontal="right" vertical="center"/>
    </xf>
    <xf numFmtId="0" fontId="13" fillId="0" borderId="15" xfId="0" applyFont="1" applyBorder="1" applyAlignment="1">
      <alignment horizontal="right" vertical="center"/>
    </xf>
    <xf numFmtId="0" fontId="13" fillId="0" borderId="5" xfId="0" applyFont="1" applyBorder="1" applyAlignment="1">
      <alignment vertical="center"/>
    </xf>
    <xf numFmtId="0" fontId="13" fillId="0" borderId="32" xfId="0" applyFont="1" applyBorder="1" applyAlignment="1">
      <alignment horizontal="center" vertical="center"/>
    </xf>
    <xf numFmtId="0" fontId="13" fillId="0" borderId="31" xfId="0" applyFont="1" applyBorder="1" applyAlignment="1">
      <alignment horizontal="center" vertical="center"/>
    </xf>
    <xf numFmtId="0" fontId="13" fillId="0" borderId="27" xfId="0" applyFont="1" applyBorder="1" applyAlignment="1">
      <alignment horizontal="center" vertical="center"/>
    </xf>
    <xf numFmtId="0" fontId="13" fillId="0" borderId="0" xfId="0" applyFont="1" applyBorder="1" applyAlignment="1">
      <alignment horizontal="center" vertical="center"/>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14" fillId="0" borderId="2" xfId="0" applyFont="1" applyBorder="1" applyAlignment="1">
      <alignment horizontal="right" vertical="center" wrapText="1"/>
    </xf>
    <xf numFmtId="0" fontId="14" fillId="0" borderId="4" xfId="0" applyFont="1" applyBorder="1" applyAlignment="1">
      <alignment horizontal="right" vertical="center" wrapText="1"/>
    </xf>
    <xf numFmtId="0" fontId="14" fillId="0" borderId="8" xfId="0" applyFont="1" applyBorder="1" applyAlignment="1">
      <alignment horizontal="left" vertical="center" wrapText="1"/>
    </xf>
    <xf numFmtId="0" fontId="14" fillId="0" borderId="12" xfId="0" applyFont="1" applyBorder="1" applyAlignment="1">
      <alignment horizontal="left" vertical="center" wrapText="1"/>
    </xf>
    <xf numFmtId="0" fontId="14" fillId="0" borderId="1" xfId="0" applyFont="1" applyBorder="1" applyAlignment="1">
      <alignment horizontal="left" vertical="top" wrapText="1"/>
    </xf>
    <xf numFmtId="0" fontId="13" fillId="0" borderId="45" xfId="0" applyFont="1" applyBorder="1" applyAlignment="1">
      <alignment horizontal="center"/>
    </xf>
    <xf numFmtId="0" fontId="13" fillId="0" borderId="46" xfId="0" applyFont="1" applyBorder="1" applyAlignment="1">
      <alignment horizontal="center"/>
    </xf>
    <xf numFmtId="0" fontId="13" fillId="0" borderId="47" xfId="0" applyFont="1" applyBorder="1" applyAlignment="1">
      <alignment horizontal="center"/>
    </xf>
    <xf numFmtId="0" fontId="13" fillId="0" borderId="45" xfId="0" applyFont="1" applyBorder="1" applyAlignment="1">
      <alignment horizontal="center" vertical="center" wrapText="1"/>
    </xf>
    <xf numFmtId="0" fontId="13" fillId="0" borderId="46" xfId="0" applyFont="1" applyBorder="1" applyAlignment="1">
      <alignment horizontal="center" vertical="center" wrapText="1"/>
    </xf>
    <xf numFmtId="0" fontId="13" fillId="0" borderId="47" xfId="0" applyFont="1" applyBorder="1" applyAlignment="1">
      <alignment horizontal="center" vertical="center" wrapText="1"/>
    </xf>
    <xf numFmtId="0" fontId="13" fillId="0" borderId="53" xfId="0" applyFont="1" applyBorder="1" applyAlignment="1">
      <alignment horizontal="center" vertical="center" wrapText="1"/>
    </xf>
    <xf numFmtId="0" fontId="13" fillId="0" borderId="15" xfId="0" applyFont="1" applyBorder="1" applyAlignment="1">
      <alignment horizontal="center"/>
    </xf>
    <xf numFmtId="0" fontId="13" fillId="0" borderId="6" xfId="0" applyFont="1" applyBorder="1" applyAlignment="1">
      <alignment horizontal="center"/>
    </xf>
    <xf numFmtId="0" fontId="14" fillId="0" borderId="5" xfId="0" applyFont="1" applyBorder="1" applyAlignment="1">
      <alignment horizontal="left"/>
    </xf>
    <xf numFmtId="0" fontId="14" fillId="0" borderId="6" xfId="0" applyFont="1" applyBorder="1" applyAlignment="1">
      <alignment horizontal="left"/>
    </xf>
    <xf numFmtId="0" fontId="13" fillId="0" borderId="28" xfId="0" quotePrefix="1" applyFont="1" applyBorder="1" applyAlignment="1">
      <alignment horizontal="center"/>
    </xf>
    <xf numFmtId="0" fontId="13" fillId="0" borderId="13" xfId="0" quotePrefix="1" applyFont="1" applyBorder="1" applyAlignment="1">
      <alignment horizontal="center"/>
    </xf>
    <xf numFmtId="0" fontId="14" fillId="0" borderId="26" xfId="0" applyFont="1" applyBorder="1" applyAlignment="1">
      <alignment horizontal="center" vertical="top"/>
    </xf>
    <xf numFmtId="0" fontId="14" fillId="0" borderId="15" xfId="0" applyFont="1" applyBorder="1" applyAlignment="1">
      <alignment horizontal="center" vertical="top"/>
    </xf>
    <xf numFmtId="2" fontId="14" fillId="7" borderId="48" xfId="0" applyNumberFormat="1" applyFont="1" applyFill="1" applyBorder="1" applyAlignment="1">
      <alignment horizontal="right" vertical="center"/>
    </xf>
    <xf numFmtId="2" fontId="14" fillId="7" borderId="28" xfId="0" applyNumberFormat="1" applyFont="1" applyFill="1" applyBorder="1" applyAlignment="1">
      <alignment horizontal="right" vertical="center"/>
    </xf>
    <xf numFmtId="2" fontId="14" fillId="0" borderId="18" xfId="0" applyNumberFormat="1" applyFont="1" applyFill="1" applyBorder="1" applyAlignment="1">
      <alignment horizontal="right" vertical="center"/>
    </xf>
    <xf numFmtId="2" fontId="14" fillId="0" borderId="20" xfId="0" applyNumberFormat="1" applyFont="1" applyFill="1" applyBorder="1" applyAlignment="1">
      <alignment horizontal="right" vertical="center"/>
    </xf>
    <xf numFmtId="0" fontId="13" fillId="0" borderId="5" xfId="0" applyFont="1" applyBorder="1" applyAlignment="1">
      <alignment horizontal="left" wrapText="1"/>
    </xf>
    <xf numFmtId="0" fontId="13" fillId="0" borderId="15" xfId="0" applyFont="1" applyBorder="1" applyAlignment="1">
      <alignment horizontal="left" wrapText="1"/>
    </xf>
    <xf numFmtId="0" fontId="13" fillId="0" borderId="6" xfId="0" applyFont="1" applyBorder="1" applyAlignment="1">
      <alignment horizontal="left" wrapText="1"/>
    </xf>
    <xf numFmtId="0" fontId="32" fillId="8" borderId="45" xfId="0" applyFont="1" applyFill="1" applyBorder="1" applyAlignment="1">
      <alignment horizontal="center" vertical="center" wrapText="1"/>
    </xf>
    <xf numFmtId="0" fontId="32" fillId="8" borderId="47" xfId="0" applyFont="1" applyFill="1" applyBorder="1" applyAlignment="1">
      <alignment horizontal="center" vertical="center" wrapText="1"/>
    </xf>
    <xf numFmtId="9" fontId="14" fillId="0" borderId="19" xfId="1" applyFont="1" applyFill="1" applyBorder="1" applyAlignment="1">
      <alignment horizontal="right" vertical="center"/>
    </xf>
    <xf numFmtId="9" fontId="14" fillId="0" borderId="23" xfId="1" applyFont="1" applyFill="1" applyBorder="1" applyAlignment="1">
      <alignment horizontal="right" vertical="center"/>
    </xf>
    <xf numFmtId="9" fontId="14" fillId="0" borderId="19" xfId="1" applyFont="1" applyBorder="1" applyAlignment="1">
      <alignment horizontal="right" vertical="center"/>
    </xf>
    <xf numFmtId="9" fontId="14" fillId="0" borderId="23" xfId="1" applyFont="1" applyBorder="1" applyAlignment="1">
      <alignment horizontal="right" vertical="center"/>
    </xf>
    <xf numFmtId="0" fontId="13" fillId="0" borderId="5" xfId="0" applyFont="1" applyBorder="1" applyAlignment="1">
      <alignment horizontal="left"/>
    </xf>
    <xf numFmtId="0" fontId="13" fillId="0" borderId="15" xfId="0" applyFont="1" applyBorder="1" applyAlignment="1">
      <alignment horizontal="left"/>
    </xf>
    <xf numFmtId="0" fontId="13" fillId="0" borderId="6" xfId="0" applyFont="1" applyBorder="1" applyAlignment="1">
      <alignment horizontal="left"/>
    </xf>
    <xf numFmtId="0" fontId="18" fillId="0" borderId="0" xfId="2" applyFont="1" applyFill="1" applyBorder="1" applyAlignment="1">
      <alignment horizontal="center"/>
    </xf>
    <xf numFmtId="0" fontId="18" fillId="0" borderId="13" xfId="2" quotePrefix="1" applyFont="1" applyFill="1" applyBorder="1" applyAlignment="1">
      <alignment horizontal="center" vertical="top"/>
    </xf>
    <xf numFmtId="0" fontId="18" fillId="0" borderId="0" xfId="2" applyFont="1" applyFill="1" applyBorder="1" applyAlignment="1">
      <alignment horizontal="center" vertical="top"/>
    </xf>
    <xf numFmtId="168" fontId="22" fillId="0" borderId="0" xfId="2" applyNumberFormat="1" applyFont="1" applyFill="1" applyBorder="1" applyAlignment="1" applyProtection="1">
      <alignment horizontal="left" vertical="top" wrapText="1"/>
    </xf>
    <xf numFmtId="168" fontId="22" fillId="0" borderId="11" xfId="2" applyNumberFormat="1" applyFont="1" applyFill="1" applyBorder="1" applyAlignment="1" applyProtection="1">
      <alignment horizontal="left" vertical="top" wrapText="1"/>
    </xf>
    <xf numFmtId="168" fontId="22" fillId="0" borderId="0" xfId="2" applyNumberFormat="1" applyFont="1" applyFill="1" applyBorder="1" applyAlignment="1" applyProtection="1">
      <alignment horizontal="left" vertical="center" wrapText="1"/>
    </xf>
    <xf numFmtId="168" fontId="22" fillId="0" borderId="11" xfId="2" applyNumberFormat="1" applyFont="1" applyFill="1" applyBorder="1" applyAlignment="1" applyProtection="1">
      <alignment horizontal="left" vertical="center" wrapText="1"/>
    </xf>
    <xf numFmtId="0" fontId="18" fillId="0" borderId="0" xfId="2" quotePrefix="1" applyFont="1" applyFill="1" applyBorder="1" applyAlignment="1">
      <alignment horizontal="center" vertical="top"/>
    </xf>
    <xf numFmtId="0" fontId="18" fillId="0" borderId="1" xfId="2" applyFont="1" applyBorder="1" applyAlignment="1">
      <alignment horizontal="left" vertical="center" wrapText="1"/>
    </xf>
    <xf numFmtId="0" fontId="26" fillId="0" borderId="5" xfId="2" applyFont="1" applyBorder="1" applyAlignment="1">
      <alignment horizontal="center" vertical="center"/>
    </xf>
    <xf numFmtId="0" fontId="26" fillId="0" borderId="15" xfId="2" applyFont="1" applyBorder="1" applyAlignment="1">
      <alignment horizontal="center" vertical="center"/>
    </xf>
    <xf numFmtId="0" fontId="26" fillId="0" borderId="6" xfId="2" applyFont="1" applyBorder="1" applyAlignment="1">
      <alignment horizontal="center" vertical="center"/>
    </xf>
    <xf numFmtId="0" fontId="18" fillId="0" borderId="1" xfId="2" applyFont="1" applyBorder="1" applyAlignment="1">
      <alignment horizontal="left" vertical="center"/>
    </xf>
    <xf numFmtId="0" fontId="18" fillId="0" borderId="1" xfId="2" applyFont="1" applyBorder="1" applyAlignment="1">
      <alignment horizontal="left" vertical="top" wrapText="1"/>
    </xf>
    <xf numFmtId="0" fontId="18" fillId="0" borderId="5" xfId="2" applyFont="1" applyFill="1" applyBorder="1" applyAlignment="1">
      <alignment horizontal="center" vertical="center"/>
    </xf>
    <xf numFmtId="0" fontId="18" fillId="0" borderId="15" xfId="2" applyFont="1" applyFill="1" applyBorder="1" applyAlignment="1">
      <alignment horizontal="center" vertical="center"/>
    </xf>
    <xf numFmtId="0" fontId="18" fillId="0" borderId="6" xfId="2" applyFont="1" applyFill="1" applyBorder="1" applyAlignment="1">
      <alignment horizontal="center" vertical="center"/>
    </xf>
    <xf numFmtId="0" fontId="18" fillId="0" borderId="2" xfId="2" applyFont="1" applyFill="1" applyBorder="1" applyAlignment="1">
      <alignment horizontal="center" vertical="center" wrapText="1"/>
    </xf>
    <xf numFmtId="0" fontId="18" fillId="0" borderId="3" xfId="2" applyFont="1" applyFill="1" applyBorder="1" applyAlignment="1">
      <alignment horizontal="center" vertical="center" wrapText="1"/>
    </xf>
    <xf numFmtId="0" fontId="18" fillId="0" borderId="4" xfId="2" applyFont="1" applyFill="1" applyBorder="1" applyAlignment="1">
      <alignment horizontal="center" vertical="center" wrapText="1"/>
    </xf>
    <xf numFmtId="0" fontId="18" fillId="0" borderId="1" xfId="2" applyFont="1" applyFill="1" applyBorder="1" applyAlignment="1">
      <alignment horizontal="center" vertical="center"/>
    </xf>
    <xf numFmtId="0" fontId="18" fillId="0" borderId="4" xfId="2" applyFont="1" applyFill="1" applyBorder="1" applyAlignment="1">
      <alignment horizontal="center" vertical="center"/>
    </xf>
    <xf numFmtId="0" fontId="18" fillId="0" borderId="5" xfId="2" applyFont="1" applyBorder="1" applyAlignment="1">
      <alignment horizontal="left" vertical="center"/>
    </xf>
    <xf numFmtId="0" fontId="18" fillId="0" borderId="15" xfId="2" applyFont="1" applyBorder="1" applyAlignment="1">
      <alignment horizontal="left" vertical="center"/>
    </xf>
    <xf numFmtId="0" fontId="18" fillId="0" borderId="6" xfId="2" applyFont="1" applyBorder="1" applyAlignment="1">
      <alignment horizontal="left" vertical="center"/>
    </xf>
    <xf numFmtId="0" fontId="18" fillId="0" borderId="2" xfId="2" applyFont="1" applyBorder="1" applyAlignment="1">
      <alignment horizontal="left" vertical="center" wrapText="1"/>
    </xf>
    <xf numFmtId="0" fontId="18" fillId="0" borderId="5" xfId="2" applyFont="1" applyBorder="1" applyAlignment="1">
      <alignment horizontal="left" vertical="top" wrapText="1"/>
    </xf>
    <xf numFmtId="0" fontId="18" fillId="0" borderId="15" xfId="2" applyFont="1" applyBorder="1" applyAlignment="1">
      <alignment horizontal="left" vertical="top" wrapText="1"/>
    </xf>
    <xf numFmtId="0" fontId="18" fillId="0" borderId="6" xfId="2" applyFont="1" applyBorder="1" applyAlignment="1">
      <alignment horizontal="left" vertical="top" wrapText="1"/>
    </xf>
    <xf numFmtId="0" fontId="18" fillId="0" borderId="5" xfId="2" applyFont="1" applyBorder="1" applyAlignment="1">
      <alignment horizontal="left" vertical="center" wrapText="1"/>
    </xf>
    <xf numFmtId="0" fontId="18" fillId="0" borderId="15" xfId="2" applyFont="1" applyBorder="1" applyAlignment="1">
      <alignment horizontal="left" vertical="center" wrapText="1"/>
    </xf>
    <xf numFmtId="0" fontId="18" fillId="0" borderId="6" xfId="2" applyFont="1" applyBorder="1" applyAlignment="1">
      <alignment horizontal="left" vertical="center" wrapText="1"/>
    </xf>
    <xf numFmtId="0" fontId="18" fillId="0" borderId="12" xfId="2" applyFont="1" applyBorder="1" applyAlignment="1">
      <alignment horizontal="left" vertical="center"/>
    </xf>
    <xf numFmtId="0" fontId="18" fillId="0" borderId="13" xfId="2" applyFont="1" applyBorder="1" applyAlignment="1">
      <alignment horizontal="left" vertical="center"/>
    </xf>
    <xf numFmtId="0" fontId="18" fillId="0" borderId="14" xfId="2" applyFont="1" applyBorder="1" applyAlignment="1">
      <alignment horizontal="left" vertical="center"/>
    </xf>
    <xf numFmtId="0" fontId="23" fillId="0" borderId="5" xfId="2" applyFont="1" applyBorder="1" applyAlignment="1">
      <alignment horizontal="left" vertical="center" wrapText="1"/>
    </xf>
    <xf numFmtId="0" fontId="23" fillId="0" borderId="15" xfId="2" applyFont="1" applyBorder="1" applyAlignment="1">
      <alignment horizontal="left" vertical="center" wrapText="1"/>
    </xf>
    <xf numFmtId="0" fontId="23" fillId="0" borderId="6" xfId="2" applyFont="1" applyBorder="1" applyAlignment="1">
      <alignment horizontal="left" vertical="center" wrapText="1"/>
    </xf>
    <xf numFmtId="0" fontId="18" fillId="0" borderId="12" xfId="2" applyFont="1" applyBorder="1" applyAlignment="1">
      <alignment horizontal="left" vertical="top" wrapText="1"/>
    </xf>
    <xf numFmtId="0" fontId="18" fillId="0" borderId="13" xfId="2" applyFont="1" applyBorder="1" applyAlignment="1">
      <alignment horizontal="left" vertical="top" wrapText="1"/>
    </xf>
    <xf numFmtId="0" fontId="18" fillId="0" borderId="14" xfId="2" applyFont="1" applyBorder="1" applyAlignment="1">
      <alignment horizontal="left" vertical="top" wrapText="1"/>
    </xf>
    <xf numFmtId="166" fontId="18" fillId="0" borderId="5" xfId="2" applyNumberFormat="1" applyFont="1" applyBorder="1" applyAlignment="1">
      <alignment horizontal="left" vertical="center" wrapText="1"/>
    </xf>
    <xf numFmtId="166" fontId="18" fillId="0" borderId="15" xfId="2" applyNumberFormat="1" applyFont="1" applyBorder="1" applyAlignment="1">
      <alignment horizontal="left" vertical="center" wrapText="1"/>
    </xf>
    <xf numFmtId="166" fontId="18" fillId="0" borderId="6" xfId="2" applyNumberFormat="1" applyFont="1" applyBorder="1" applyAlignment="1">
      <alignment horizontal="left" vertical="center" wrapText="1"/>
    </xf>
    <xf numFmtId="0" fontId="18" fillId="0" borderId="8" xfId="2" applyFont="1" applyBorder="1" applyAlignment="1">
      <alignment horizontal="left" vertical="top" wrapText="1"/>
    </xf>
    <xf numFmtId="0" fontId="18" fillId="0" borderId="7" xfId="2" applyFont="1" applyBorder="1" applyAlignment="1">
      <alignment horizontal="left" vertical="top" wrapText="1"/>
    </xf>
    <xf numFmtId="0" fontId="18" fillId="0" borderId="9" xfId="2" applyFont="1" applyBorder="1" applyAlignment="1">
      <alignment horizontal="left" vertical="top" wrapText="1"/>
    </xf>
    <xf numFmtId="0" fontId="18" fillId="0" borderId="12" xfId="2" applyFont="1" applyBorder="1" applyAlignment="1">
      <alignment horizontal="left" vertical="center" wrapText="1"/>
    </xf>
    <xf numFmtId="0" fontId="18" fillId="0" borderId="13" xfId="2" applyFont="1" applyBorder="1" applyAlignment="1">
      <alignment horizontal="left" vertical="center" wrapText="1"/>
    </xf>
    <xf numFmtId="0" fontId="18" fillId="0" borderId="14" xfId="2" applyFont="1" applyBorder="1" applyAlignment="1">
      <alignment horizontal="left" vertical="center" wrapText="1"/>
    </xf>
    <xf numFmtId="0" fontId="18" fillId="0" borderId="5" xfId="2" applyFont="1" applyBorder="1" applyAlignment="1">
      <alignment horizontal="left" vertical="center" shrinkToFit="1"/>
    </xf>
    <xf numFmtId="0" fontId="18" fillId="0" borderId="15" xfId="2" applyFont="1" applyBorder="1" applyAlignment="1">
      <alignment horizontal="left" vertical="center" shrinkToFit="1"/>
    </xf>
    <xf numFmtId="0" fontId="18" fillId="0" borderId="6" xfId="2" applyFont="1" applyBorder="1" applyAlignment="1">
      <alignment horizontal="left" vertical="center" shrinkToFit="1"/>
    </xf>
    <xf numFmtId="0" fontId="19" fillId="0" borderId="5" xfId="2" applyFont="1" applyBorder="1" applyAlignment="1">
      <alignment horizontal="left" vertical="top" wrapText="1"/>
    </xf>
    <xf numFmtId="0" fontId="19" fillId="0" borderId="15" xfId="2" applyFont="1" applyBorder="1" applyAlignment="1">
      <alignment horizontal="left" vertical="top" wrapText="1"/>
    </xf>
    <xf numFmtId="0" fontId="19" fillId="0" borderId="6" xfId="2" applyFont="1" applyBorder="1" applyAlignment="1">
      <alignment horizontal="left" vertical="top" wrapText="1"/>
    </xf>
    <xf numFmtId="0" fontId="21" fillId="0" borderId="6" xfId="2" applyFont="1" applyBorder="1" applyAlignment="1">
      <alignment vertical="center" wrapText="1"/>
    </xf>
    <xf numFmtId="0" fontId="12" fillId="0" borderId="1" xfId="2" applyFont="1" applyBorder="1" applyAlignment="1">
      <alignment vertical="center" wrapText="1"/>
    </xf>
    <xf numFmtId="0" fontId="17" fillId="0" borderId="5" xfId="2" applyFont="1" applyBorder="1" applyAlignment="1">
      <alignment vertical="center" wrapText="1"/>
    </xf>
    <xf numFmtId="0" fontId="17" fillId="0" borderId="15" xfId="2" applyFont="1" applyBorder="1" applyAlignment="1">
      <alignment vertical="center" wrapText="1"/>
    </xf>
    <xf numFmtId="0" fontId="17" fillId="0" borderId="6" xfId="2" applyFont="1" applyBorder="1" applyAlignment="1">
      <alignment vertical="center" wrapText="1"/>
    </xf>
    <xf numFmtId="0" fontId="17" fillId="0" borderId="5" xfId="2" applyFont="1" applyBorder="1" applyAlignment="1">
      <alignment horizontal="left" vertical="center" wrapText="1"/>
    </xf>
    <xf numFmtId="0" fontId="12" fillId="0" borderId="15" xfId="2" applyFont="1" applyBorder="1" applyAlignment="1">
      <alignment vertical="center" wrapText="1"/>
    </xf>
    <xf numFmtId="0" fontId="12" fillId="0" borderId="6" xfId="2" applyFont="1" applyBorder="1" applyAlignment="1">
      <alignment vertical="center" wrapText="1"/>
    </xf>
    <xf numFmtId="0" fontId="23" fillId="0" borderId="8" xfId="2" applyFont="1" applyBorder="1" applyAlignment="1">
      <alignment horizontal="left" vertical="center" wrapText="1"/>
    </xf>
    <xf numFmtId="0" fontId="23" fillId="0" borderId="7" xfId="2" applyFont="1" applyBorder="1" applyAlignment="1">
      <alignment horizontal="left" vertical="center" wrapText="1"/>
    </xf>
    <xf numFmtId="0" fontId="23" fillId="0" borderId="9" xfId="2" applyFont="1" applyBorder="1" applyAlignment="1">
      <alignment horizontal="left" vertical="center" wrapText="1"/>
    </xf>
    <xf numFmtId="0" fontId="18" fillId="0" borderId="5" xfId="2" applyFont="1" applyFill="1" applyBorder="1" applyAlignment="1">
      <alignment horizontal="left" vertical="center" wrapText="1"/>
    </xf>
    <xf numFmtId="0" fontId="18" fillId="0" borderId="15" xfId="2" applyFont="1" applyFill="1" applyBorder="1" applyAlignment="1">
      <alignment horizontal="left" vertical="center" wrapText="1"/>
    </xf>
    <xf numFmtId="0" fontId="18" fillId="0" borderId="8" xfId="2" applyFont="1" applyFill="1" applyBorder="1" applyAlignment="1">
      <alignment horizontal="left" vertical="center" wrapText="1"/>
    </xf>
    <xf numFmtId="0" fontId="18" fillId="0" borderId="7" xfId="2" applyFont="1" applyFill="1" applyBorder="1" applyAlignment="1">
      <alignment horizontal="left" vertical="center" wrapText="1"/>
    </xf>
    <xf numFmtId="0" fontId="18" fillId="0" borderId="0" xfId="2" applyFont="1" applyFill="1" applyAlignment="1">
      <alignment horizontal="left" vertical="center"/>
    </xf>
    <xf numFmtId="0" fontId="18" fillId="0" borderId="0" xfId="2" applyFont="1" applyFill="1" applyAlignment="1">
      <alignment horizontal="left" vertical="top" wrapText="1"/>
    </xf>
    <xf numFmtId="0" fontId="20" fillId="0" borderId="0" xfId="2" applyFont="1" applyFill="1" applyAlignment="1">
      <alignment horizontal="center" vertical="center" wrapText="1"/>
    </xf>
    <xf numFmtId="0" fontId="18" fillId="0" borderId="0" xfId="2" applyFont="1" applyFill="1" applyAlignment="1">
      <alignment horizontal="center" vertical="center" wrapText="1"/>
    </xf>
    <xf numFmtId="0" fontId="4" fillId="0" borderId="49" xfId="0" quotePrefix="1" applyFont="1" applyBorder="1" applyAlignment="1">
      <alignment vertical="center" wrapText="1"/>
    </xf>
    <xf numFmtId="0" fontId="33" fillId="0" borderId="0" xfId="4" applyAlignment="1" applyProtection="1">
      <alignment wrapText="1"/>
    </xf>
  </cellXfs>
  <cellStyles count="8">
    <cellStyle name="Comma [0] 2" xfId="3" xr:uid="{00000000-0005-0000-0000-000000000000}"/>
    <cellStyle name="Comma [0] 2 2" xfId="7" xr:uid="{00000000-0005-0000-0000-000001000000}"/>
    <cellStyle name="Hyperlink" xfId="4" builtinId="8"/>
    <cellStyle name="Normal" xfId="0" builtinId="0"/>
    <cellStyle name="Normal 2" xfId="2" xr:uid="{00000000-0005-0000-0000-000004000000}"/>
    <cellStyle name="Normal 3" xfId="5" xr:uid="{00000000-0005-0000-0000-000005000000}"/>
    <cellStyle name="Normal 5" xfId="6" xr:uid="{00000000-0005-0000-0000-000006000000}"/>
    <cellStyle name="Percent" xfId="1" builtinId="5"/>
  </cellStyles>
  <dxfs count="750">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val="0"/>
        <i/>
        <strike val="0"/>
        <u val="none"/>
        <color theme="0" tint="-0.14996795556505021"/>
      </font>
      <fill>
        <patternFill patternType="none">
          <bgColor auto="1"/>
        </patternFill>
      </fill>
    </dxf>
    <dxf>
      <font>
        <b val="0"/>
        <i/>
        <strike val="0"/>
        <u val="none"/>
        <color theme="0" tint="-0.14996795556505021"/>
      </font>
      <fill>
        <patternFill patternType="none">
          <bgColor auto="1"/>
        </patternFill>
      </fill>
    </dxf>
    <dxf>
      <font>
        <b val="0"/>
        <i/>
        <strike val="0"/>
        <u val="none"/>
        <color theme="0" tint="-0.14996795556505021"/>
      </font>
      <fill>
        <patternFill patternType="none">
          <bgColor auto="1"/>
        </patternFill>
      </fill>
    </dxf>
    <dxf>
      <font>
        <b val="0"/>
        <i/>
        <strike val="0"/>
        <u val="none"/>
        <color theme="0" tint="-0.14996795556505021"/>
      </font>
      <fill>
        <patternFill patternType="none">
          <bgColor auto="1"/>
        </patternFill>
      </fill>
    </dxf>
    <dxf>
      <font>
        <b val="0"/>
        <i/>
        <strike val="0"/>
        <u val="none"/>
        <color theme="0" tint="-0.14996795556505021"/>
      </font>
      <fill>
        <patternFill patternType="none">
          <bgColor auto="1"/>
        </patternFill>
      </fill>
    </dxf>
    <dxf>
      <font>
        <b val="0"/>
        <i/>
        <strike val="0"/>
        <u val="none"/>
        <color theme="0" tint="-0.14996795556505021"/>
      </font>
      <fill>
        <patternFill patternType="none">
          <bgColor auto="1"/>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val="0"/>
        <i/>
        <strike val="0"/>
        <u val="none"/>
        <color theme="0" tint="-0.14996795556505021"/>
      </font>
      <fill>
        <patternFill patternType="none">
          <bgColor auto="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FF00"/>
        </patternFill>
      </fill>
    </dxf>
    <dxf>
      <font>
        <b val="0"/>
        <i/>
        <strike val="0"/>
        <u val="none"/>
        <color theme="0" tint="-0.14996795556505021"/>
      </font>
      <fill>
        <patternFill patternType="none">
          <bgColor auto="1"/>
        </patternFill>
      </fill>
    </dxf>
    <dxf>
      <font>
        <b val="0"/>
        <i/>
        <strike val="0"/>
        <u val="none"/>
        <color theme="0" tint="-0.14996795556505021"/>
      </font>
      <fill>
        <patternFill patternType="none">
          <bgColor auto="1"/>
        </patternFill>
      </fill>
    </dxf>
    <dxf>
      <font>
        <b val="0"/>
        <i/>
        <strike val="0"/>
        <u val="none"/>
        <color theme="0" tint="-0.14996795556505021"/>
      </font>
      <fill>
        <patternFill patternType="none">
          <bgColor auto="1"/>
        </patternFill>
      </fill>
    </dxf>
    <dxf>
      <font>
        <b val="0"/>
        <i/>
        <strike val="0"/>
        <u val="none"/>
        <color theme="0" tint="-0.14996795556505021"/>
      </font>
      <fill>
        <patternFill patternType="none">
          <bgColor auto="1"/>
        </patternFill>
      </fill>
    </dxf>
    <dxf>
      <font>
        <b val="0"/>
        <i/>
        <strike val="0"/>
        <u val="none"/>
        <color theme="0" tint="-0.14996795556505021"/>
      </font>
      <fill>
        <patternFill patternType="none">
          <bgColor auto="1"/>
        </patternFill>
      </fill>
    </dxf>
    <dxf>
      <font>
        <b val="0"/>
        <i/>
        <strike val="0"/>
        <u val="none"/>
        <color theme="0" tint="-0.14996795556505021"/>
      </font>
      <fill>
        <patternFill patternType="none">
          <bgColor auto="1"/>
        </patternFill>
      </fill>
    </dxf>
    <dxf>
      <font>
        <b val="0"/>
        <i/>
        <strike val="0"/>
        <u val="none"/>
        <color theme="0" tint="-0.14996795556505021"/>
      </font>
      <fill>
        <patternFill patternType="none">
          <bgColor auto="1"/>
        </patternFill>
      </fill>
    </dxf>
    <dxf>
      <font>
        <b val="0"/>
        <i/>
        <strike val="0"/>
        <u val="none"/>
        <color theme="0" tint="-0.14996795556505021"/>
      </font>
      <fill>
        <patternFill patternType="none">
          <bgColor auto="1"/>
        </patternFill>
      </fill>
    </dxf>
    <dxf>
      <font>
        <b val="0"/>
        <i/>
        <strike val="0"/>
        <u val="none"/>
        <color theme="0" tint="-0.14996795556505021"/>
      </font>
      <fill>
        <patternFill patternType="none">
          <bgColor auto="1"/>
        </patternFill>
      </fill>
    </dxf>
    <dxf>
      <font>
        <b val="0"/>
        <i/>
        <strike val="0"/>
        <u val="none"/>
        <color theme="0" tint="-0.14996795556505021"/>
      </font>
      <fill>
        <patternFill patternType="none">
          <bgColor auto="1"/>
        </patternFill>
      </fill>
    </dxf>
    <dxf>
      <font>
        <b val="0"/>
        <i/>
        <strike val="0"/>
        <u val="none"/>
        <color theme="0" tint="-0.14996795556505021"/>
      </font>
      <fill>
        <patternFill patternType="none">
          <bgColor auto="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val="0"/>
        <i/>
        <strike val="0"/>
        <u val="none"/>
        <color theme="0" tint="-0.14996795556505021"/>
      </font>
      <fill>
        <patternFill patternType="none">
          <bgColor auto="1"/>
        </patternFill>
      </fill>
    </dxf>
    <dxf>
      <font>
        <b val="0"/>
        <i/>
        <strike val="0"/>
        <u val="none"/>
        <color theme="0" tint="-0.14996795556505021"/>
      </font>
      <fill>
        <patternFill patternType="none">
          <bgColor auto="1"/>
        </patternFill>
      </fill>
    </dxf>
    <dxf>
      <font>
        <b val="0"/>
        <i/>
        <strike val="0"/>
        <u val="none"/>
        <color theme="0" tint="-0.14996795556505021"/>
      </font>
      <fill>
        <patternFill patternType="none">
          <bgColor auto="1"/>
        </patternFill>
      </fill>
    </dxf>
    <dxf>
      <font>
        <b val="0"/>
        <i/>
        <strike val="0"/>
        <u val="none"/>
        <color theme="0" tint="-0.14996795556505021"/>
      </font>
      <fill>
        <patternFill patternType="none">
          <bgColor auto="1"/>
        </patternFill>
      </fill>
    </dxf>
    <dxf>
      <fill>
        <patternFill>
          <bgColor rgb="FFFFFF00"/>
        </patternFill>
      </fill>
    </dxf>
    <dxf>
      <fill>
        <patternFill>
          <bgColor rgb="FFFF0000"/>
        </patternFill>
      </fill>
    </dxf>
    <dxf>
      <font>
        <b val="0"/>
        <i/>
        <strike val="0"/>
        <u val="none"/>
        <color theme="0" tint="-0.14996795556505021"/>
      </font>
      <fill>
        <patternFill patternType="none">
          <bgColor auto="1"/>
        </patternFill>
      </fill>
    </dxf>
    <dxf>
      <font>
        <b val="0"/>
        <i/>
        <strike val="0"/>
        <u val="none"/>
        <color theme="0" tint="-0.14996795556505021"/>
      </font>
      <fill>
        <patternFill patternType="none">
          <bgColor auto="1"/>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val="0"/>
        <i/>
        <strike val="0"/>
        <u val="none"/>
        <color theme="0" tint="-0.14996795556505021"/>
      </font>
      <fill>
        <patternFill patternType="none">
          <bgColor auto="1"/>
        </patternFill>
      </fill>
    </dxf>
    <dxf>
      <font>
        <b val="0"/>
        <i/>
        <strike val="0"/>
        <u val="none"/>
        <color theme="0" tint="-0.14996795556505021"/>
      </font>
      <fill>
        <patternFill patternType="none">
          <bgColor auto="1"/>
        </patternFill>
      </fill>
    </dxf>
    <dxf>
      <font>
        <b val="0"/>
        <i/>
        <strike val="0"/>
        <u val="none"/>
        <color theme="0" tint="-0.14996795556505021"/>
      </font>
      <fill>
        <patternFill patternType="none">
          <bgColor auto="1"/>
        </patternFill>
      </fill>
    </dxf>
    <dxf>
      <fill>
        <patternFill>
          <bgColor rgb="FF92D05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rgb="FFFFFF00"/>
        </patternFill>
      </fill>
    </dxf>
    <dxf>
      <fill>
        <patternFill>
          <bgColor rgb="FFFF0000"/>
        </patternFill>
      </fill>
    </dxf>
    <dxf>
      <font>
        <b val="0"/>
        <i/>
        <strike val="0"/>
        <u val="none"/>
        <color theme="0" tint="-0.14996795556505021"/>
      </font>
      <fill>
        <patternFill patternType="none">
          <bgColor auto="1"/>
        </patternFill>
      </fill>
    </dxf>
    <dxf>
      <font>
        <b val="0"/>
        <i/>
        <strike val="0"/>
        <u val="none"/>
        <color theme="0" tint="-0.14996795556505021"/>
      </font>
      <fill>
        <patternFill patternType="none">
          <bgColor auto="1"/>
        </patternFill>
      </fill>
    </dxf>
    <dxf>
      <font>
        <b val="0"/>
        <i/>
        <strike val="0"/>
        <u val="none"/>
        <color theme="0" tint="-0.14996795556505021"/>
      </font>
      <fill>
        <patternFill patternType="none">
          <bgColor auto="1"/>
        </patternFill>
      </fill>
    </dxf>
    <dxf>
      <font>
        <b val="0"/>
        <i/>
        <strike val="0"/>
        <u val="none"/>
        <color theme="0" tint="-0.14996795556505021"/>
      </font>
      <fill>
        <patternFill patternType="none">
          <bgColor auto="1"/>
        </patternFill>
      </fill>
    </dxf>
    <dxf>
      <font>
        <b val="0"/>
        <i/>
        <strike val="0"/>
        <u val="none"/>
        <color theme="0" tint="-0.14996795556505021"/>
      </font>
      <fill>
        <patternFill patternType="none">
          <bgColor auto="1"/>
        </patternFill>
      </fill>
    </dxf>
    <dxf>
      <font>
        <b val="0"/>
        <i/>
        <strike val="0"/>
        <u val="none"/>
        <color theme="0" tint="-0.14996795556505021"/>
      </font>
      <fill>
        <patternFill patternType="none">
          <bgColor auto="1"/>
        </patternFill>
      </fill>
    </dxf>
    <dxf>
      <font>
        <b val="0"/>
        <i/>
        <strike val="0"/>
        <u val="none"/>
        <color theme="0" tint="-0.14996795556505021"/>
      </font>
      <fill>
        <patternFill patternType="none">
          <bgColor auto="1"/>
        </patternFill>
      </fill>
    </dxf>
    <dxf>
      <font>
        <b val="0"/>
        <i/>
        <strike val="0"/>
        <u val="none"/>
        <color theme="0" tint="-0.14996795556505021"/>
      </font>
      <fill>
        <patternFill patternType="none">
          <bgColor auto="1"/>
        </patternFill>
      </fill>
    </dxf>
    <dxf>
      <font>
        <b val="0"/>
        <i/>
        <strike val="0"/>
        <u val="none"/>
        <color theme="0" tint="-0.14996795556505021"/>
      </font>
      <fill>
        <patternFill patternType="none">
          <bgColor auto="1"/>
        </patternFill>
      </fill>
    </dxf>
    <dxf>
      <font>
        <b val="0"/>
        <i/>
        <strike val="0"/>
        <u val="none"/>
        <color theme="0" tint="-0.14996795556505021"/>
      </font>
      <fill>
        <patternFill patternType="none">
          <bgColor auto="1"/>
        </patternFill>
      </fill>
    </dxf>
    <dxf>
      <font>
        <b val="0"/>
        <i/>
        <strike val="0"/>
        <u val="none"/>
        <color theme="0" tint="-0.14996795556505021"/>
      </font>
      <fill>
        <patternFill patternType="none">
          <bgColor auto="1"/>
        </patternFill>
      </fill>
    </dxf>
    <dxf>
      <font>
        <b val="0"/>
        <i/>
        <strike val="0"/>
        <u val="none"/>
        <color theme="0" tint="-0.14996795556505021"/>
      </font>
      <fill>
        <patternFill patternType="none">
          <bgColor auto="1"/>
        </patternFill>
      </fill>
    </dxf>
    <dxf>
      <font>
        <b val="0"/>
        <i/>
        <strike val="0"/>
        <u val="none"/>
        <color theme="0" tint="-0.14996795556505021"/>
      </font>
      <fill>
        <patternFill patternType="none">
          <bgColor auto="1"/>
        </patternFill>
      </fill>
    </dxf>
    <dxf>
      <font>
        <b val="0"/>
        <i/>
        <strike val="0"/>
        <u val="none"/>
        <color theme="0" tint="-0.14996795556505021"/>
      </font>
      <fill>
        <patternFill patternType="none">
          <bgColor auto="1"/>
        </patternFill>
      </fill>
    </dxf>
    <dxf>
      <font>
        <b val="0"/>
        <i/>
        <strike val="0"/>
        <u val="none"/>
        <color theme="0" tint="-0.14996795556505021"/>
      </font>
      <fill>
        <patternFill patternType="none">
          <bgColor auto="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val="0"/>
        <i/>
        <strike val="0"/>
        <u val="none"/>
        <color theme="0" tint="-0.14996795556505021"/>
      </font>
      <fill>
        <patternFill patternType="none">
          <bgColor auto="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val="0"/>
        <i/>
        <strike val="0"/>
        <u val="none"/>
        <color theme="0" tint="-0.14996795556505021"/>
      </font>
      <fill>
        <patternFill patternType="none">
          <bgColor auto="1"/>
        </patternFill>
      </fill>
    </dxf>
    <dxf>
      <font>
        <b val="0"/>
        <i/>
        <strike val="0"/>
        <u val="none"/>
        <color theme="0" tint="-0.14996795556505021"/>
      </font>
      <fill>
        <patternFill patternType="none">
          <bgColor auto="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val="0"/>
        <i/>
        <strike val="0"/>
        <u val="none"/>
        <color theme="0" tint="-0.14996795556505021"/>
      </font>
      <fill>
        <patternFill patternType="none">
          <bgColor auto="1"/>
        </patternFill>
      </fill>
    </dxf>
    <dxf>
      <font>
        <b val="0"/>
        <i/>
        <strike val="0"/>
        <u val="none"/>
        <color theme="0" tint="-0.14996795556505021"/>
      </font>
      <fill>
        <patternFill patternType="none">
          <bgColor auto="1"/>
        </patternFill>
      </fill>
    </dxf>
    <dxf>
      <font>
        <b val="0"/>
        <i/>
        <strike val="0"/>
        <u val="none"/>
        <color theme="0" tint="-0.14996795556505021"/>
      </font>
      <fill>
        <patternFill patternType="none">
          <bgColor auto="1"/>
        </patternFill>
      </fill>
    </dxf>
    <dxf>
      <font>
        <b val="0"/>
        <i/>
        <strike val="0"/>
        <u val="none"/>
        <color theme="0" tint="-0.14996795556505021"/>
      </font>
      <fill>
        <patternFill patternType="none">
          <bgColor auto="1"/>
        </patternFill>
      </fill>
    </dxf>
    <dxf>
      <font>
        <b val="0"/>
        <i/>
        <strike val="0"/>
        <u val="none"/>
        <color theme="0" tint="-0.14996795556505021"/>
      </font>
      <fill>
        <patternFill patternType="none">
          <bgColor auto="1"/>
        </patternFill>
      </fill>
    </dxf>
    <dxf>
      <font>
        <b val="0"/>
        <i/>
        <strike val="0"/>
        <u val="none"/>
        <color theme="0" tint="-0.14996795556505021"/>
      </font>
      <fill>
        <patternFill patternType="none">
          <bgColor auto="1"/>
        </patternFill>
      </fill>
    </dxf>
    <dxf>
      <font>
        <b val="0"/>
        <i/>
        <strike val="0"/>
        <u val="none"/>
        <color theme="0" tint="-0.14996795556505021"/>
      </font>
      <fill>
        <patternFill patternType="none">
          <bgColor auto="1"/>
        </patternFill>
      </fill>
    </dxf>
    <dxf>
      <font>
        <b val="0"/>
        <i/>
        <strike val="0"/>
        <u val="none"/>
        <color theme="0" tint="-0.14996795556505021"/>
      </font>
      <fill>
        <patternFill patternType="none">
          <bgColor auto="1"/>
        </patternFill>
      </fill>
    </dxf>
    <dxf>
      <font>
        <b val="0"/>
        <i/>
        <strike val="0"/>
        <u val="none"/>
        <color theme="0" tint="-0.14996795556505021"/>
      </font>
      <fill>
        <patternFill patternType="none">
          <bgColor auto="1"/>
        </patternFill>
      </fill>
    </dxf>
    <dxf>
      <font>
        <b val="0"/>
        <i/>
        <strike val="0"/>
        <u val="none"/>
        <color theme="0" tint="-0.14996795556505021"/>
      </font>
      <fill>
        <patternFill patternType="none">
          <bgColor auto="1"/>
        </patternFill>
      </fill>
    </dxf>
    <dxf>
      <font>
        <b val="0"/>
        <i/>
        <strike val="0"/>
        <u val="none"/>
        <color theme="0" tint="-0.14996795556505021"/>
      </font>
      <fill>
        <patternFill patternType="none">
          <bgColor auto="1"/>
        </patternFill>
      </fill>
    </dxf>
    <dxf>
      <font>
        <b val="0"/>
        <i/>
        <strike val="0"/>
        <u val="none"/>
        <color theme="0" tint="-0.14996795556505021"/>
      </font>
      <fill>
        <patternFill patternType="none">
          <bgColor auto="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val="0"/>
        <i/>
        <strike val="0"/>
        <u val="none"/>
        <color theme="0" tint="-0.14996795556505021"/>
      </font>
      <fill>
        <patternFill patternType="none">
          <bgColor auto="1"/>
        </patternFill>
      </fill>
    </dxf>
    <dxf>
      <font>
        <b val="0"/>
        <i/>
        <strike val="0"/>
        <u val="none"/>
        <color theme="0" tint="-0.14996795556505021"/>
      </font>
      <fill>
        <patternFill patternType="none">
          <bgColor auto="1"/>
        </patternFill>
      </fill>
    </dxf>
    <dxf>
      <font>
        <b val="0"/>
        <i/>
        <strike val="0"/>
        <u val="none"/>
        <color theme="0" tint="-0.14996795556505021"/>
      </font>
      <fill>
        <patternFill patternType="none">
          <bgColor auto="1"/>
        </patternFill>
      </fill>
    </dxf>
    <dxf>
      <font>
        <b val="0"/>
        <i/>
        <strike val="0"/>
        <u val="none"/>
        <color theme="0" tint="-0.14996795556505021"/>
      </font>
      <fill>
        <patternFill patternType="none">
          <bgColor auto="1"/>
        </patternFill>
      </fill>
    </dxf>
    <dxf>
      <font>
        <b val="0"/>
        <i/>
        <strike val="0"/>
        <u val="none"/>
        <color theme="0" tint="-0.14996795556505021"/>
      </font>
      <fill>
        <patternFill patternType="none">
          <bgColor auto="1"/>
        </patternFill>
      </fill>
    </dxf>
    <dxf>
      <font>
        <b val="0"/>
        <i/>
        <strike val="0"/>
        <u val="none"/>
        <color theme="0" tint="-0.14996795556505021"/>
      </font>
      <fill>
        <patternFill patternType="none">
          <bgColor auto="1"/>
        </patternFill>
      </fill>
    </dxf>
    <dxf>
      <font>
        <b val="0"/>
        <i/>
        <strike val="0"/>
        <u val="none"/>
        <color theme="0" tint="-0.14996795556505021"/>
      </font>
      <fill>
        <patternFill patternType="none">
          <bgColor auto="1"/>
        </patternFill>
      </fill>
    </dxf>
    <dxf>
      <font>
        <b val="0"/>
        <i/>
        <strike val="0"/>
        <u val="none"/>
        <color theme="0" tint="-0.14996795556505021"/>
      </font>
      <fill>
        <patternFill patternType="none">
          <bgColor auto="1"/>
        </patternFill>
      </fill>
    </dxf>
    <dxf>
      <font>
        <b val="0"/>
        <i/>
        <strike val="0"/>
        <u val="none"/>
        <color theme="0" tint="-0.14996795556505021"/>
      </font>
      <fill>
        <patternFill patternType="none">
          <bgColor auto="1"/>
        </patternFill>
      </fill>
    </dxf>
    <dxf>
      <font>
        <b val="0"/>
        <i/>
        <strike val="0"/>
        <u val="none"/>
        <color theme="0" tint="-0.14996795556505021"/>
      </font>
      <fill>
        <patternFill patternType="none">
          <bgColor auto="1"/>
        </patternFill>
      </fill>
    </dxf>
    <dxf>
      <font>
        <b val="0"/>
        <i/>
        <strike val="0"/>
        <u val="none"/>
        <color theme="0" tint="-0.14996795556505021"/>
      </font>
      <fill>
        <patternFill patternType="none">
          <bgColor auto="1"/>
        </patternFill>
      </fill>
    </dxf>
    <dxf>
      <font>
        <b val="0"/>
        <i/>
        <strike val="0"/>
        <u val="none"/>
        <color theme="0" tint="-0.14996795556505021"/>
      </font>
      <fill>
        <patternFill patternType="none">
          <bgColor auto="1"/>
        </patternFill>
      </fill>
    </dxf>
    <dxf>
      <font>
        <b val="0"/>
        <i/>
        <strike val="0"/>
        <u val="none"/>
        <color theme="0" tint="-0.14996795556505021"/>
      </font>
      <fill>
        <patternFill patternType="none">
          <bgColor auto="1"/>
        </patternFill>
      </fill>
    </dxf>
    <dxf>
      <font>
        <b val="0"/>
        <i/>
        <strike val="0"/>
        <u val="none"/>
        <color theme="0" tint="-0.14996795556505021"/>
      </font>
      <fill>
        <patternFill patternType="none">
          <bgColor auto="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val="0"/>
        <i/>
        <strike val="0"/>
        <u val="none"/>
        <color theme="0" tint="-0.14996795556505021"/>
      </font>
      <fill>
        <patternFill patternType="none">
          <bgColor auto="1"/>
        </patternFill>
      </fill>
    </dxf>
    <dxf>
      <font>
        <b val="0"/>
        <i/>
        <strike val="0"/>
        <u val="none"/>
        <color theme="0" tint="-0.14996795556505021"/>
      </font>
      <fill>
        <patternFill patternType="none">
          <bgColor auto="1"/>
        </patternFill>
      </fill>
    </dxf>
    <dxf>
      <font>
        <b val="0"/>
        <i/>
        <strike val="0"/>
        <u val="none"/>
        <color theme="0" tint="-0.14996795556505021"/>
      </font>
      <fill>
        <patternFill patternType="none">
          <bgColor auto="1"/>
        </patternFill>
      </fill>
    </dxf>
    <dxf>
      <font>
        <b val="0"/>
        <i/>
        <strike val="0"/>
        <u val="none"/>
        <color theme="0" tint="-0.14996795556505021"/>
      </font>
      <fill>
        <patternFill patternType="none">
          <bgColor auto="1"/>
        </patternFill>
      </fill>
    </dxf>
    <dxf>
      <font>
        <b val="0"/>
        <i/>
        <strike val="0"/>
        <u val="none"/>
        <color theme="0" tint="-0.14996795556505021"/>
      </font>
      <fill>
        <patternFill patternType="none">
          <bgColor auto="1"/>
        </patternFill>
      </fill>
    </dxf>
    <dxf>
      <font>
        <b val="0"/>
        <i/>
        <strike val="0"/>
        <u val="none"/>
        <color theme="0" tint="-0.14996795556505021"/>
      </font>
      <fill>
        <patternFill patternType="none">
          <bgColor auto="1"/>
        </patternFill>
      </fill>
    </dxf>
    <dxf>
      <font>
        <b val="0"/>
        <i/>
        <strike val="0"/>
        <u val="none"/>
        <color theme="0" tint="-0.14996795556505021"/>
      </font>
      <fill>
        <patternFill patternType="none">
          <bgColor auto="1"/>
        </patternFill>
      </fill>
    </dxf>
    <dxf>
      <font>
        <b val="0"/>
        <i/>
        <strike val="0"/>
        <u val="none"/>
        <color theme="0" tint="-0.14996795556505021"/>
      </font>
      <fill>
        <patternFill patternType="none">
          <bgColor auto="1"/>
        </patternFill>
      </fill>
    </dxf>
    <dxf>
      <font>
        <b val="0"/>
        <i/>
        <strike val="0"/>
        <u val="none"/>
        <color theme="0" tint="-0.14996795556505021"/>
      </font>
      <fill>
        <patternFill patternType="none">
          <bgColor auto="1"/>
        </patternFill>
      </fill>
    </dxf>
    <dxf>
      <font>
        <b val="0"/>
        <i/>
        <strike val="0"/>
        <u val="none"/>
        <color theme="0" tint="-0.14996795556505021"/>
      </font>
      <fill>
        <patternFill patternType="none">
          <bgColor auto="1"/>
        </patternFill>
      </fill>
    </dxf>
    <dxf>
      <font>
        <b val="0"/>
        <i/>
        <strike val="0"/>
        <u val="none"/>
        <color theme="0" tint="-0.14996795556505021"/>
      </font>
      <fill>
        <patternFill patternType="none">
          <bgColor auto="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val="0"/>
        <i/>
        <strike val="0"/>
        <u val="none"/>
        <color theme="0" tint="-0.14996795556505021"/>
      </font>
      <fill>
        <patternFill patternType="none">
          <bgColor auto="1"/>
        </patternFill>
      </fill>
    </dxf>
    <dxf>
      <font>
        <b val="0"/>
        <i/>
        <strike val="0"/>
        <u val="none"/>
        <color theme="0" tint="-0.14996795556505021"/>
      </font>
      <fill>
        <patternFill patternType="none">
          <bgColor auto="1"/>
        </patternFill>
      </fill>
    </dxf>
    <dxf>
      <font>
        <b val="0"/>
        <i/>
        <strike val="0"/>
        <u val="none"/>
        <color theme="0" tint="-0.14996795556505021"/>
      </font>
      <fill>
        <patternFill patternType="none">
          <bgColor auto="1"/>
        </patternFill>
      </fill>
    </dxf>
    <dxf>
      <font>
        <b val="0"/>
        <i/>
        <strike val="0"/>
        <u val="none"/>
        <color theme="0" tint="-0.14996795556505021"/>
      </font>
      <fill>
        <patternFill patternType="none">
          <bgColor auto="1"/>
        </patternFill>
      </fill>
    </dxf>
    <dxf>
      <font>
        <b val="0"/>
        <i/>
        <strike val="0"/>
        <u val="none"/>
        <color theme="0" tint="-0.14996795556505021"/>
      </font>
      <fill>
        <patternFill patternType="none">
          <bgColor auto="1"/>
        </patternFill>
      </fill>
    </dxf>
    <dxf>
      <font>
        <b val="0"/>
        <i/>
        <strike val="0"/>
        <u val="none"/>
        <color theme="0" tint="-0.14996795556505021"/>
      </font>
      <fill>
        <patternFill patternType="none">
          <bgColor auto="1"/>
        </patternFill>
      </fill>
    </dxf>
    <dxf>
      <font>
        <b val="0"/>
        <i/>
        <strike val="0"/>
        <u val="none"/>
        <color theme="0" tint="-0.14996795556505021"/>
      </font>
      <fill>
        <patternFill patternType="none">
          <bgColor auto="1"/>
        </patternFill>
      </fill>
    </dxf>
    <dxf>
      <font>
        <b val="0"/>
        <i/>
        <strike val="0"/>
        <u val="none"/>
        <color theme="0" tint="-0.14996795556505021"/>
      </font>
      <fill>
        <patternFill patternType="none">
          <bgColor auto="1"/>
        </patternFill>
      </fill>
    </dxf>
    <dxf>
      <font>
        <b val="0"/>
        <i/>
        <strike val="0"/>
        <u val="none"/>
        <color theme="0" tint="-0.14996795556505021"/>
      </font>
      <fill>
        <patternFill patternType="none">
          <bgColor auto="1"/>
        </patternFill>
      </fill>
    </dxf>
    <dxf>
      <font>
        <b val="0"/>
        <i/>
        <strike val="0"/>
        <u val="none"/>
        <color theme="0" tint="-0.14996795556505021"/>
      </font>
      <fill>
        <patternFill patternType="none">
          <bgColor auto="1"/>
        </patternFill>
      </fill>
    </dxf>
    <dxf>
      <font>
        <b val="0"/>
        <i/>
        <strike val="0"/>
        <u val="none"/>
        <color theme="0" tint="-0.14996795556505021"/>
      </font>
      <fill>
        <patternFill patternType="none">
          <bgColor auto="1"/>
        </patternFill>
      </fill>
    </dxf>
    <dxf>
      <font>
        <b val="0"/>
        <i/>
        <strike val="0"/>
        <u val="none"/>
        <color theme="0" tint="-0.14996795556505021"/>
      </font>
      <fill>
        <patternFill patternType="none">
          <bgColor auto="1"/>
        </patternFill>
      </fill>
    </dxf>
    <dxf>
      <font>
        <b val="0"/>
        <i/>
        <strike val="0"/>
        <u val="none"/>
        <color theme="0" tint="-0.14996795556505021"/>
      </font>
      <fill>
        <patternFill patternType="none">
          <bgColor auto="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val="0"/>
        <i/>
        <strike val="0"/>
        <u val="none"/>
        <color theme="0" tint="-0.14996795556505021"/>
      </font>
      <fill>
        <patternFill patternType="none">
          <bgColor auto="1"/>
        </patternFill>
      </fill>
    </dxf>
    <dxf>
      <fill>
        <patternFill>
          <bgColor rgb="FFFF0000"/>
        </patternFill>
      </fill>
    </dxf>
    <dxf>
      <font>
        <b val="0"/>
        <i/>
        <strike val="0"/>
        <u val="none"/>
        <color theme="0" tint="-0.14996795556505021"/>
      </font>
      <fill>
        <patternFill patternType="none">
          <bgColor auto="1"/>
        </patternFill>
      </fill>
    </dxf>
    <dxf>
      <font>
        <b val="0"/>
        <i/>
        <strike val="0"/>
        <u val="none"/>
        <color theme="0" tint="-0.14996795556505021"/>
      </font>
      <fill>
        <patternFill patternType="none">
          <bgColor auto="1"/>
        </patternFill>
      </fill>
    </dxf>
    <dxf>
      <font>
        <b val="0"/>
        <i/>
        <strike val="0"/>
        <u val="none"/>
        <color theme="0" tint="-0.14996795556505021"/>
      </font>
      <fill>
        <patternFill patternType="none">
          <bgColor auto="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val="0"/>
        <i/>
        <strike val="0"/>
        <u val="none"/>
        <color theme="0" tint="-0.14996795556505021"/>
      </font>
      <fill>
        <patternFill patternType="none">
          <bgColor auto="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val="0"/>
        <i/>
        <strike val="0"/>
        <u val="none"/>
        <color theme="0" tint="-0.14996795556505021"/>
      </font>
      <fill>
        <patternFill patternType="none">
          <bgColor auto="1"/>
        </patternFill>
      </fill>
    </dxf>
    <dxf>
      <font>
        <b val="0"/>
        <i/>
        <strike val="0"/>
        <u val="none"/>
        <color theme="0" tint="-0.14996795556505021"/>
      </font>
      <fill>
        <patternFill patternType="none">
          <bgColor auto="1"/>
        </patternFill>
      </fill>
    </dxf>
    <dxf>
      <font>
        <b val="0"/>
        <i/>
        <strike val="0"/>
        <u val="none"/>
        <color theme="0" tint="-0.14996795556505021"/>
      </font>
      <fill>
        <patternFill patternType="none">
          <bgColor auto="1"/>
        </patternFill>
      </fill>
    </dxf>
    <dxf>
      <fill>
        <patternFill>
          <bgColor rgb="FFFF0000"/>
        </patternFill>
      </fill>
    </dxf>
    <dxf>
      <fill>
        <patternFill>
          <bgColor rgb="FF92D050"/>
        </patternFill>
      </fill>
    </dxf>
    <dxf>
      <font>
        <b val="0"/>
        <i/>
        <strike val="0"/>
        <u val="none"/>
        <color theme="0" tint="-0.14996795556505021"/>
      </font>
      <fill>
        <patternFill patternType="none">
          <bgColor auto="1"/>
        </patternFill>
      </fill>
    </dxf>
    <dxf>
      <font>
        <b val="0"/>
        <i/>
        <strike val="0"/>
        <u val="none"/>
        <color theme="0" tint="-0.14996795556505021"/>
      </font>
      <fill>
        <patternFill patternType="none">
          <bgColor auto="1"/>
        </patternFill>
      </fill>
    </dxf>
    <dxf>
      <font>
        <b val="0"/>
        <i/>
        <strike val="0"/>
        <u val="none"/>
        <color theme="0" tint="-0.14996795556505021"/>
      </font>
      <fill>
        <patternFill patternType="none">
          <bgColor auto="1"/>
        </patternFill>
      </fill>
    </dxf>
    <dxf>
      <fill>
        <patternFill>
          <bgColor rgb="FFFF0000"/>
        </patternFill>
      </fill>
    </dxf>
    <dxf>
      <fill>
        <patternFill>
          <bgColor rgb="FFFF0000"/>
        </patternFill>
      </fill>
    </dxf>
    <dxf>
      <font>
        <b val="0"/>
        <i/>
        <strike val="0"/>
        <u val="none"/>
        <color theme="0" tint="-0.14996795556505021"/>
      </font>
      <fill>
        <patternFill patternType="none">
          <bgColor auto="1"/>
        </patternFill>
      </fill>
    </dxf>
    <dxf>
      <fill>
        <patternFill>
          <bgColor rgb="FFFF0000"/>
        </patternFill>
      </fill>
    </dxf>
    <dxf>
      <fill>
        <patternFill>
          <bgColor rgb="FFFF0000"/>
        </patternFill>
      </fill>
    </dxf>
    <dxf>
      <font>
        <b val="0"/>
        <i/>
        <strike val="0"/>
        <u val="none"/>
        <color theme="0" tint="-0.14996795556505021"/>
      </font>
      <fill>
        <patternFill patternType="none">
          <bgColor auto="1"/>
        </patternFill>
      </fill>
    </dxf>
    <dxf>
      <font>
        <b val="0"/>
        <i/>
        <strike val="0"/>
        <u val="none"/>
        <color theme="0" tint="-0.14996795556505021"/>
      </font>
      <fill>
        <patternFill patternType="none">
          <bgColor auto="1"/>
        </patternFill>
      </fill>
    </dxf>
    <dxf>
      <font>
        <b val="0"/>
        <i/>
        <strike val="0"/>
        <u val="none"/>
        <color theme="0" tint="-0.14996795556505021"/>
      </font>
      <fill>
        <patternFill patternType="none">
          <bgColor auto="1"/>
        </patternFill>
      </fill>
    </dxf>
    <dxf>
      <font>
        <b val="0"/>
        <i/>
        <strike val="0"/>
        <u val="none"/>
        <color theme="0" tint="-0.14996795556505021"/>
      </font>
      <fill>
        <patternFill patternType="none">
          <bgColor auto="1"/>
        </patternFill>
      </fill>
    </dxf>
    <dxf>
      <font>
        <b val="0"/>
        <i/>
        <strike val="0"/>
        <u val="none"/>
        <color theme="0" tint="-0.14996795556505021"/>
      </font>
      <fill>
        <patternFill patternType="none">
          <bgColor auto="1"/>
        </patternFill>
      </fill>
    </dxf>
    <dxf>
      <font>
        <b val="0"/>
        <i/>
        <strike val="0"/>
        <u val="none"/>
        <color theme="0" tint="-0.14996795556505021"/>
      </font>
      <fill>
        <patternFill patternType="none">
          <bgColor auto="1"/>
        </patternFill>
      </fill>
    </dxf>
    <dxf>
      <font>
        <b val="0"/>
        <i/>
        <strike val="0"/>
        <u val="none"/>
        <color theme="0" tint="-0.14996795556505021"/>
      </font>
      <fill>
        <patternFill patternType="none">
          <bgColor auto="1"/>
        </patternFill>
      </fill>
    </dxf>
    <dxf>
      <font>
        <b val="0"/>
        <i/>
        <strike val="0"/>
        <u val="none"/>
        <color theme="0" tint="-0.14996795556505021"/>
      </font>
      <fill>
        <patternFill patternType="none">
          <bgColor auto="1"/>
        </patternFill>
      </fill>
    </dxf>
    <dxf>
      <fill>
        <patternFill>
          <bgColor rgb="FFFF0000"/>
        </patternFill>
      </fill>
    </dxf>
    <dxf>
      <fill>
        <patternFill>
          <bgColor rgb="FFFF0000"/>
        </patternFill>
      </fill>
    </dxf>
    <dxf>
      <font>
        <b val="0"/>
        <i/>
        <strike val="0"/>
        <u val="none"/>
        <color theme="0" tint="-0.14996795556505021"/>
      </font>
      <fill>
        <patternFill patternType="none">
          <bgColor auto="1"/>
        </patternFill>
      </fill>
    </dxf>
    <dxf>
      <font>
        <b val="0"/>
        <i/>
        <strike val="0"/>
        <u val="none"/>
        <color theme="0" tint="-0.14996795556505021"/>
      </font>
      <fill>
        <patternFill patternType="none">
          <bgColor auto="1"/>
        </patternFill>
      </fill>
    </dxf>
    <dxf>
      <font>
        <b val="0"/>
        <i/>
        <strike val="0"/>
        <u val="none"/>
        <color theme="0" tint="-0.14996795556505021"/>
      </font>
      <fill>
        <patternFill patternType="none">
          <bgColor auto="1"/>
        </patternFill>
      </fill>
    </dxf>
    <dxf>
      <fill>
        <patternFill>
          <bgColor rgb="FFFF0000"/>
        </patternFill>
      </fill>
    </dxf>
    <dxf>
      <fill>
        <patternFill>
          <bgColor rgb="FFFF0000"/>
        </patternFill>
      </fill>
    </dxf>
    <dxf>
      <font>
        <b val="0"/>
        <i/>
        <strike val="0"/>
        <u val="none"/>
        <color theme="0" tint="-0.14996795556505021"/>
      </font>
      <fill>
        <patternFill patternType="none">
          <bgColor auto="1"/>
        </patternFill>
      </fill>
    </dxf>
    <dxf>
      <font>
        <b val="0"/>
        <i/>
        <strike val="0"/>
        <u val="none"/>
        <color theme="0" tint="-0.14996795556505021"/>
      </font>
      <fill>
        <patternFill patternType="none">
          <bgColor auto="1"/>
        </patternFill>
      </fill>
    </dxf>
    <dxf>
      <font>
        <b val="0"/>
        <i/>
        <strike val="0"/>
        <u val="none"/>
        <color theme="0" tint="-0.14996795556505021"/>
      </font>
      <fill>
        <patternFill patternType="none">
          <bgColor auto="1"/>
        </patternFill>
      </fill>
    </dxf>
    <dxf>
      <font>
        <b val="0"/>
        <i/>
        <strike val="0"/>
        <u val="none"/>
        <color theme="0" tint="-0.14996795556505021"/>
      </font>
      <fill>
        <patternFill patternType="none">
          <bgColor auto="1"/>
        </patternFill>
      </fill>
    </dxf>
    <dxf>
      <font>
        <b val="0"/>
        <i/>
        <strike val="0"/>
        <u val="none"/>
        <color theme="0" tint="-0.14996795556505021"/>
      </font>
      <fill>
        <patternFill patternType="none">
          <bgColor auto="1"/>
        </patternFill>
      </fill>
    </dxf>
    <dxf>
      <font>
        <b val="0"/>
        <i/>
        <strike val="0"/>
        <u val="none"/>
        <color theme="0" tint="-0.14996795556505021"/>
      </font>
      <fill>
        <patternFill patternType="none">
          <bgColor auto="1"/>
        </patternFill>
      </fill>
    </dxf>
    <dxf>
      <font>
        <b val="0"/>
        <i/>
        <strike val="0"/>
        <u val="none"/>
        <color theme="0" tint="-0.14996795556505021"/>
      </font>
      <fill>
        <patternFill patternType="none">
          <bgColor auto="1"/>
        </patternFill>
      </fill>
    </dxf>
    <dxf>
      <font>
        <b val="0"/>
        <i/>
        <strike val="0"/>
        <u val="none"/>
        <color theme="0" tint="-0.14996795556505021"/>
      </font>
      <fill>
        <patternFill patternType="none">
          <bgColor auto="1"/>
        </patternFill>
      </fill>
    </dxf>
    <dxf>
      <font>
        <b val="0"/>
        <i/>
        <strike val="0"/>
        <u val="none"/>
        <color theme="0" tint="-0.14996795556505021"/>
      </font>
      <fill>
        <patternFill patternType="none">
          <bgColor auto="1"/>
        </patternFill>
      </fill>
    </dxf>
    <dxf>
      <font>
        <b val="0"/>
        <i/>
        <strike val="0"/>
        <u val="none"/>
        <color theme="0" tint="-0.14996795556505021"/>
      </font>
      <fill>
        <patternFill patternType="none">
          <bgColor auto="1"/>
        </patternFill>
      </fill>
    </dxf>
    <dxf>
      <font>
        <b val="0"/>
        <i/>
        <strike val="0"/>
        <u val="none"/>
        <color theme="0" tint="-0.14996795556505021"/>
      </font>
      <fill>
        <patternFill patternType="none">
          <bgColor auto="1"/>
        </patternFill>
      </fill>
    </dxf>
    <dxf>
      <font>
        <b val="0"/>
        <i/>
        <strike val="0"/>
        <u val="none"/>
        <color theme="0" tint="-0.14996795556505021"/>
      </font>
      <fill>
        <patternFill patternType="none">
          <bgColor auto="1"/>
        </patternFill>
      </fill>
    </dxf>
    <dxf>
      <font>
        <b val="0"/>
        <i/>
        <strike val="0"/>
        <u val="none"/>
        <color theme="0" tint="-0.14996795556505021"/>
      </font>
      <fill>
        <patternFill patternType="none">
          <bgColor auto="1"/>
        </patternFill>
      </fill>
    </dxf>
    <dxf>
      <fill>
        <patternFill>
          <bgColor rgb="FFFF0000"/>
        </patternFill>
      </fill>
    </dxf>
    <dxf>
      <font>
        <b val="0"/>
        <i/>
        <strike val="0"/>
        <u val="none"/>
        <color theme="0" tint="-0.14996795556505021"/>
      </font>
      <fill>
        <patternFill patternType="none">
          <bgColor auto="1"/>
        </patternFill>
      </fill>
    </dxf>
    <dxf>
      <fill>
        <patternFill>
          <bgColor rgb="FFFF0000"/>
        </patternFill>
      </fill>
    </dxf>
    <dxf>
      <font>
        <b val="0"/>
        <i/>
        <strike val="0"/>
        <u val="none"/>
        <color theme="0" tint="-0.14996795556505021"/>
      </font>
      <fill>
        <patternFill patternType="none">
          <bgColor auto="1"/>
        </patternFill>
      </fill>
    </dxf>
    <dxf>
      <font>
        <b val="0"/>
        <i/>
        <strike val="0"/>
        <u val="none"/>
        <color theme="0" tint="-0.14996795556505021"/>
      </font>
      <fill>
        <patternFill patternType="none">
          <bgColor auto="1"/>
        </patternFill>
      </fill>
    </dxf>
    <dxf>
      <font>
        <b val="0"/>
        <i/>
        <strike val="0"/>
        <u val="none"/>
        <color theme="0" tint="-0.14996795556505021"/>
      </font>
      <fill>
        <patternFill patternType="none">
          <bgColor auto="1"/>
        </patternFill>
      </fill>
    </dxf>
    <dxf>
      <font>
        <b val="0"/>
        <i/>
        <strike val="0"/>
        <u val="none"/>
        <color theme="0" tint="-0.14996795556505021"/>
      </font>
      <fill>
        <patternFill patternType="none">
          <bgColor auto="1"/>
        </patternFill>
      </fill>
    </dxf>
    <dxf>
      <font>
        <b val="0"/>
        <i/>
        <strike val="0"/>
        <u val="none"/>
        <color theme="0" tint="-0.14996795556505021"/>
      </font>
      <fill>
        <patternFill patternType="none">
          <bgColor auto="1"/>
        </patternFill>
      </fill>
    </dxf>
    <dxf>
      <font>
        <b val="0"/>
        <i/>
        <strike val="0"/>
        <u val="none"/>
        <color theme="0" tint="-0.14996795556505021"/>
      </font>
      <fill>
        <patternFill patternType="none">
          <bgColor auto="1"/>
        </patternFill>
      </fill>
    </dxf>
    <dxf>
      <font>
        <b val="0"/>
        <i/>
        <strike val="0"/>
        <u val="none"/>
        <color theme="0" tint="-0.14996795556505021"/>
      </font>
      <fill>
        <patternFill patternType="none">
          <bgColor auto="1"/>
        </patternFill>
      </fill>
    </dxf>
    <dxf>
      <font>
        <b val="0"/>
        <i/>
        <strike val="0"/>
        <u val="none"/>
        <color theme="0" tint="-0.14996795556505021"/>
      </font>
      <fill>
        <patternFill patternType="none">
          <bgColor auto="1"/>
        </patternFill>
      </fill>
    </dxf>
    <dxf>
      <font>
        <b val="0"/>
        <i/>
        <strike val="0"/>
        <u val="none"/>
        <color theme="0" tint="-0.14996795556505021"/>
      </font>
      <fill>
        <patternFill patternType="none">
          <bgColor auto="1"/>
        </patternFill>
      </fill>
    </dxf>
    <dxf>
      <font>
        <b val="0"/>
        <i/>
        <strike val="0"/>
        <u val="none"/>
        <color theme="0" tint="-0.14996795556505021"/>
      </font>
      <fill>
        <patternFill patternType="none">
          <bgColor auto="1"/>
        </patternFill>
      </fill>
    </dxf>
    <dxf>
      <font>
        <b val="0"/>
        <i/>
        <strike val="0"/>
        <u val="none"/>
        <color theme="0" tint="-0.14996795556505021"/>
      </font>
      <fill>
        <patternFill patternType="none">
          <bgColor auto="1"/>
        </patternFill>
      </fill>
    </dxf>
    <dxf>
      <fill>
        <patternFill>
          <bgColor rgb="FFFF0000"/>
        </patternFill>
      </fill>
    </dxf>
    <dxf>
      <fill>
        <patternFill>
          <bgColor rgb="FFFF0000"/>
        </patternFill>
      </fill>
    </dxf>
    <dxf>
      <fill>
        <patternFill>
          <bgColor rgb="FFFF0000"/>
        </patternFill>
      </fill>
    </dxf>
    <dxf>
      <font>
        <b val="0"/>
        <i/>
        <strike val="0"/>
        <u val="none"/>
        <color theme="0" tint="-0.14996795556505021"/>
      </font>
      <fill>
        <patternFill patternType="none">
          <bgColor auto="1"/>
        </patternFill>
      </fill>
    </dxf>
    <dxf>
      <fill>
        <patternFill>
          <bgColor rgb="FFFF0000"/>
        </patternFill>
      </fill>
    </dxf>
    <dxf>
      <fill>
        <patternFill>
          <bgColor rgb="FFFF0000"/>
        </patternFill>
      </fill>
    </dxf>
    <dxf>
      <fill>
        <patternFill>
          <bgColor rgb="FFFF0000"/>
        </patternFill>
      </fill>
    </dxf>
    <dxf>
      <font>
        <b val="0"/>
        <i/>
        <strike val="0"/>
        <u val="none"/>
        <color theme="0" tint="-0.14996795556505021"/>
      </font>
      <fill>
        <patternFill patternType="none">
          <bgColor auto="1"/>
        </patternFill>
      </fill>
    </dxf>
    <dxf>
      <font>
        <b val="0"/>
        <i/>
        <strike val="0"/>
        <u val="none"/>
        <color theme="0" tint="-0.14996795556505021"/>
      </font>
      <fill>
        <patternFill patternType="none">
          <bgColor auto="1"/>
        </patternFill>
      </fill>
    </dxf>
    <dxf>
      <font>
        <b val="0"/>
        <i/>
        <strike val="0"/>
        <u val="none"/>
        <color theme="0" tint="-0.14996795556505021"/>
      </font>
      <fill>
        <patternFill patternType="none">
          <bgColor auto="1"/>
        </patternFill>
      </fill>
    </dxf>
    <dxf>
      <font>
        <b val="0"/>
        <i/>
        <strike val="0"/>
        <u val="none"/>
        <color theme="0" tint="-0.14996795556505021"/>
      </font>
      <fill>
        <patternFill patternType="none">
          <bgColor auto="1"/>
        </patternFill>
      </fill>
    </dxf>
    <dxf>
      <font>
        <b val="0"/>
        <i/>
        <strike val="0"/>
        <u val="none"/>
        <color theme="0" tint="-0.14996795556505021"/>
      </font>
      <fill>
        <patternFill patternType="none">
          <bgColor auto="1"/>
        </patternFill>
      </fill>
    </dxf>
    <dxf>
      <font>
        <b val="0"/>
        <i/>
        <strike val="0"/>
        <u val="none"/>
        <color theme="0" tint="-0.14996795556505021"/>
      </font>
      <fill>
        <patternFill patternType="none">
          <bgColor auto="1"/>
        </patternFill>
      </fill>
    </dxf>
    <dxf>
      <font>
        <b val="0"/>
        <i/>
        <strike val="0"/>
        <u val="none"/>
        <color theme="0" tint="-0.14996795556505021"/>
      </font>
      <fill>
        <patternFill patternType="none">
          <bgColor auto="1"/>
        </patternFill>
      </fill>
    </dxf>
    <dxf>
      <font>
        <b val="0"/>
        <i/>
        <strike val="0"/>
        <u val="none"/>
        <color theme="0" tint="-0.14996795556505021"/>
      </font>
      <fill>
        <patternFill patternType="none">
          <bgColor auto="1"/>
        </patternFill>
      </fill>
    </dxf>
    <dxf>
      <font>
        <b val="0"/>
        <i/>
        <strike val="0"/>
        <u val="none"/>
        <color theme="0" tint="-0.14996795556505021"/>
      </font>
      <fill>
        <patternFill patternType="none">
          <bgColor auto="1"/>
        </patternFill>
      </fill>
    </dxf>
    <dxf>
      <fill>
        <patternFill>
          <bgColor rgb="FFFF0000"/>
        </patternFill>
      </fill>
    </dxf>
    <dxf>
      <fill>
        <patternFill>
          <bgColor rgb="FFFF0000"/>
        </patternFill>
      </fill>
    </dxf>
    <dxf>
      <font>
        <b val="0"/>
        <i/>
        <strike val="0"/>
        <u val="none"/>
        <color theme="0" tint="-0.14996795556505021"/>
      </font>
      <fill>
        <patternFill patternType="none">
          <bgColor auto="1"/>
        </patternFill>
      </fill>
    </dxf>
    <dxf>
      <font>
        <b val="0"/>
        <i/>
        <strike val="0"/>
        <u val="none"/>
        <color theme="0" tint="-0.14996795556505021"/>
      </font>
      <fill>
        <patternFill patternType="none">
          <bgColor auto="1"/>
        </patternFill>
      </fill>
    </dxf>
    <dxf>
      <font>
        <b val="0"/>
        <i/>
        <strike val="0"/>
        <u val="none"/>
        <color theme="0" tint="-0.14996795556505021"/>
      </font>
      <fill>
        <patternFill patternType="none">
          <bgColor auto="1"/>
        </patternFill>
      </fill>
    </dxf>
    <dxf>
      <font>
        <b val="0"/>
        <i/>
        <strike val="0"/>
        <u val="none"/>
        <color theme="0" tint="-0.14996795556505021"/>
      </font>
      <fill>
        <patternFill patternType="none">
          <bgColor auto="1"/>
        </patternFill>
      </fill>
    </dxf>
    <dxf>
      <fill>
        <patternFill>
          <bgColor rgb="FFFF0000"/>
        </patternFill>
      </fill>
    </dxf>
    <dxf>
      <font>
        <b val="0"/>
        <i/>
        <strike val="0"/>
        <u val="none"/>
        <color theme="0" tint="-0.14996795556505021"/>
      </font>
      <fill>
        <patternFill patternType="none">
          <bgColor auto="1"/>
        </patternFill>
      </fill>
    </dxf>
    <dxf>
      <font>
        <b val="0"/>
        <i/>
        <strike val="0"/>
        <u val="none"/>
        <color theme="0" tint="-0.14996795556505021"/>
      </font>
      <fill>
        <patternFill patternType="none">
          <bgColor auto="1"/>
        </patternFill>
      </fill>
    </dxf>
    <dxf>
      <font>
        <b val="0"/>
        <i/>
        <strike val="0"/>
        <u val="none"/>
        <color theme="0" tint="-0.14996795556505021"/>
      </font>
      <fill>
        <patternFill patternType="none">
          <bgColor auto="1"/>
        </patternFill>
      </fill>
    </dxf>
    <dxf>
      <fill>
        <patternFill>
          <bgColor rgb="FFFFFF00"/>
        </patternFill>
      </fill>
    </dxf>
    <dxf>
      <font>
        <b val="0"/>
        <i/>
        <strike val="0"/>
        <u val="none"/>
        <color theme="0" tint="-0.14996795556505021"/>
      </font>
      <fill>
        <patternFill patternType="none">
          <bgColor auto="1"/>
        </patternFill>
      </fill>
    </dxf>
    <dxf>
      <font>
        <b val="0"/>
        <i/>
        <strike val="0"/>
        <u val="none"/>
        <color theme="0" tint="-0.14996795556505021"/>
      </font>
      <fill>
        <patternFill patternType="none">
          <bgColor auto="1"/>
        </patternFill>
      </fill>
    </dxf>
    <dxf>
      <font>
        <b val="0"/>
        <i/>
        <strike val="0"/>
        <u val="none"/>
        <color theme="0" tint="-0.14996795556505021"/>
      </font>
      <fill>
        <patternFill patternType="none">
          <bgColor auto="1"/>
        </patternFill>
      </fill>
    </dxf>
    <dxf>
      <font>
        <b val="0"/>
        <i/>
        <strike val="0"/>
        <u val="none"/>
        <color theme="0" tint="-0.14996795556505021"/>
      </font>
      <fill>
        <patternFill patternType="none">
          <bgColor auto="1"/>
        </patternFill>
      </fill>
    </dxf>
    <dxf>
      <font>
        <b val="0"/>
        <i/>
        <strike val="0"/>
        <u val="none"/>
        <color theme="0" tint="-0.14996795556505021"/>
      </font>
      <fill>
        <patternFill patternType="none">
          <bgColor auto="1"/>
        </patternFill>
      </fill>
    </dxf>
    <dxf>
      <fill>
        <patternFill>
          <bgColor rgb="FFFFFF00"/>
        </patternFill>
      </fill>
    </dxf>
    <dxf>
      <fill>
        <patternFill>
          <bgColor rgb="FFFF0000"/>
        </patternFill>
      </fill>
    </dxf>
    <dxf>
      <font>
        <b val="0"/>
        <i/>
        <strike val="0"/>
        <u val="none"/>
        <color theme="0" tint="-0.14996795556505021"/>
      </font>
      <fill>
        <patternFill patternType="none">
          <bgColor auto="1"/>
        </patternFill>
      </fill>
    </dxf>
    <dxf>
      <font>
        <b val="0"/>
        <i/>
        <strike val="0"/>
        <u val="none"/>
        <color theme="0" tint="-0.14996795556505021"/>
      </font>
      <fill>
        <patternFill patternType="none">
          <bgColor auto="1"/>
        </patternFill>
      </fill>
    </dxf>
    <dxf>
      <font>
        <b val="0"/>
        <i/>
        <strike val="0"/>
        <u val="none"/>
        <color theme="0" tint="-0.14996795556505021"/>
      </font>
      <fill>
        <patternFill patternType="none">
          <bgColor auto="1"/>
        </patternFill>
      </fill>
    </dxf>
    <dxf>
      <font>
        <b val="0"/>
        <i/>
        <strike val="0"/>
        <color theme="0" tint="-0.499984740745262"/>
      </font>
      <fill>
        <patternFill patternType="none">
          <bgColor auto="1"/>
        </patternFill>
      </fill>
    </dxf>
    <dxf>
      <fill>
        <patternFill>
          <bgColor rgb="FFFF0000"/>
        </patternFill>
      </fill>
    </dxf>
    <dxf>
      <font>
        <b val="0"/>
        <i/>
        <strike val="0"/>
        <u val="none"/>
        <color theme="0" tint="-0.14996795556505021"/>
      </font>
      <fill>
        <patternFill patternType="none">
          <bgColor auto="1"/>
        </patternFill>
      </fill>
    </dxf>
    <dxf>
      <font>
        <b val="0"/>
        <i/>
        <strike val="0"/>
        <u val="none"/>
        <color theme="0" tint="-0.14996795556505021"/>
      </font>
      <fill>
        <patternFill patternType="none">
          <bgColor auto="1"/>
        </patternFill>
      </fill>
    </dxf>
    <dxf>
      <font>
        <b val="0"/>
        <i/>
        <strike val="0"/>
        <u val="none"/>
        <color theme="0" tint="-0.14996795556505021"/>
      </font>
      <fill>
        <patternFill patternType="none">
          <bgColor auto="1"/>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14</xdr:col>
      <xdr:colOff>461130</xdr:colOff>
      <xdr:row>238</xdr:row>
      <xdr:rowOff>184451</xdr:rowOff>
    </xdr:from>
    <xdr:to>
      <xdr:col>18</xdr:col>
      <xdr:colOff>187476</xdr:colOff>
      <xdr:row>238</xdr:row>
      <xdr:rowOff>184452</xdr:rowOff>
    </xdr:to>
    <xdr:cxnSp macro="">
      <xdr:nvCxnSpPr>
        <xdr:cNvPr id="10" name="Straight Arrow Connector 9">
          <a:extLst>
            <a:ext uri="{FF2B5EF4-FFF2-40B4-BE49-F238E27FC236}">
              <a16:creationId xmlns:a16="http://schemas.microsoft.com/office/drawing/2014/main" id="{00000000-0008-0000-0000-00000A000000}"/>
            </a:ext>
          </a:extLst>
        </xdr:cNvPr>
        <xdr:cNvCxnSpPr/>
      </xdr:nvCxnSpPr>
      <xdr:spPr>
        <a:xfrm flipH="1">
          <a:off x="10448773" y="67335701"/>
          <a:ext cx="2529417" cy="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198060</xdr:colOff>
      <xdr:row>238</xdr:row>
      <xdr:rowOff>195034</xdr:rowOff>
    </xdr:from>
    <xdr:to>
      <xdr:col>18</xdr:col>
      <xdr:colOff>198060</xdr:colOff>
      <xdr:row>240</xdr:row>
      <xdr:rowOff>196548</xdr:rowOff>
    </xdr:to>
    <xdr:cxnSp macro="">
      <xdr:nvCxnSpPr>
        <xdr:cNvPr id="13" name="Straight Connector 12">
          <a:extLst>
            <a:ext uri="{FF2B5EF4-FFF2-40B4-BE49-F238E27FC236}">
              <a16:creationId xmlns:a16="http://schemas.microsoft.com/office/drawing/2014/main" id="{00000000-0008-0000-0000-00000D000000}"/>
            </a:ext>
          </a:extLst>
        </xdr:cNvPr>
        <xdr:cNvCxnSpPr/>
      </xdr:nvCxnSpPr>
      <xdr:spPr>
        <a:xfrm>
          <a:off x="12988774" y="67346284"/>
          <a:ext cx="0" cy="49137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hyperlink" Target="https://jurnalteknologi.utm.my/index.php/jurnalteknologi/article/view/8713/5177" TargetMode="External"/><Relationship Id="rId3" Type="http://schemas.openxmlformats.org/officeDocument/2006/relationships/hyperlink" Target="https://ieeexplore.ieee.org/document/8267816/" TargetMode="External"/><Relationship Id="rId7" Type="http://schemas.openxmlformats.org/officeDocument/2006/relationships/hyperlink" Target="https://www.iaescore.com/journals/index.php/IJECE/article/view/9500" TargetMode="External"/><Relationship Id="rId2" Type="http://schemas.openxmlformats.org/officeDocument/2006/relationships/hyperlink" Target="https://ieeexplore.ieee.org/document/8528795" TargetMode="External"/><Relationship Id="rId1" Type="http://schemas.openxmlformats.org/officeDocument/2006/relationships/hyperlink" Target="http://kontesrobotindonesia.id/data/ISRSC/ProsidingISRSC2018.pdf" TargetMode="External"/><Relationship Id="rId6" Type="http://schemas.openxmlformats.org/officeDocument/2006/relationships/hyperlink" Target="http://teknosi.fti.unand.ac.id/index.php/teknosi/article/view/246/102" TargetMode="External"/><Relationship Id="rId5" Type="http://schemas.openxmlformats.org/officeDocument/2006/relationships/hyperlink" Target="https://telka.ee.uinsgd.ac.id/index.php/TELKA/article/view/telka.v4n2.85-90/pdf" TargetMode="External"/><Relationship Id="rId10" Type="http://schemas.openxmlformats.org/officeDocument/2006/relationships/printerSettings" Target="../printerSettings/printerSettings7.bin"/><Relationship Id="rId4" Type="http://schemas.openxmlformats.org/officeDocument/2006/relationships/hyperlink" Target="https://ieeexplore.ieee.org/document/7814977" TargetMode="External"/><Relationship Id="rId9" Type="http://schemas.openxmlformats.org/officeDocument/2006/relationships/hyperlink" Target="http://siregar.staff.telkomuniversity.ac.id/files/2019/01/7-ICST-2017.pdf"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diditwidiatmoko.staff.telkomuniversity.ac.id/files/2017/12/Persuasi-Visual-Pada-Iklan-Rokok-Antara-Regulasi-dan-Menyiasati.pdf" TargetMode="External"/><Relationship Id="rId13" Type="http://schemas.openxmlformats.org/officeDocument/2006/relationships/hyperlink" Target="https://ieeexplore.ieee.org/document/8528795" TargetMode="External"/><Relationship Id="rId18" Type="http://schemas.openxmlformats.org/officeDocument/2006/relationships/hyperlink" Target="https://www.iaescore.com/journals/index.php/IJECE/article/view/9500" TargetMode="External"/><Relationship Id="rId3" Type="http://schemas.openxmlformats.org/officeDocument/2006/relationships/hyperlink" Target="http://diditwidiatmoko.staff.telkomuniversity.ac.id/files/2017/12/Visual-Character-Indonesian-Print-Advertisement-of-year-1970-1976.pdf" TargetMode="External"/><Relationship Id="rId21" Type="http://schemas.openxmlformats.org/officeDocument/2006/relationships/hyperlink" Target="http://siregar.staff.telkomuniversity.ac.id/files/2019/01/6-ICON-SONICS-IEEELP-2017-Navigation-System-for-Smartphone-based-Autonomous-Underwater-Vehicle.pdf" TargetMode="External"/><Relationship Id="rId7" Type="http://schemas.openxmlformats.org/officeDocument/2006/relationships/hyperlink" Target="http://diditwidiatmoko.staff.telkomuniversity.ac.id/files/2017/12/Visualisasi-Iklan-Indonesia-era-1950-1957.pdf" TargetMode="External"/><Relationship Id="rId12" Type="http://schemas.openxmlformats.org/officeDocument/2006/relationships/hyperlink" Target="http://kontesrobotindonesia.id/data/ISRSC/ProsidingISRSC2018.pdf" TargetMode="External"/><Relationship Id="rId17" Type="http://schemas.openxmlformats.org/officeDocument/2006/relationships/hyperlink" Target="http://teknosi.fti.unand.ac.id/index.php/teknosi/article/view/246/102" TargetMode="External"/><Relationship Id="rId25" Type="http://schemas.openxmlformats.org/officeDocument/2006/relationships/printerSettings" Target="../printerSettings/printerSettings8.bin"/><Relationship Id="rId2" Type="http://schemas.openxmlformats.org/officeDocument/2006/relationships/hyperlink" Target="http://diditwidiatmoko.staff.telkomuniversity.ac.id/files/2017/12/Indonesian-Visual-Character-in-1950%E2%80%99s-Print-Ads-Prosiding-The-3rd-International-Conference-on-Urban-Mobility-Unair-2012.pdf" TargetMode="External"/><Relationship Id="rId16" Type="http://schemas.openxmlformats.org/officeDocument/2006/relationships/hyperlink" Target="https://telka.ee.uinsgd.ac.id/index.php/TELKA/article/view/telka.v4n2.85-90/pdf" TargetMode="External"/><Relationship Id="rId20" Type="http://schemas.openxmlformats.org/officeDocument/2006/relationships/hyperlink" Target="http://siregar.staff.telkomuniversity.ac.id/files/2019/01/4-TELKA-JEKKLP-2018-Pemilah-Benda-Berdasarkan-Warna-Menggunakan-Sensor-Warna-TCS3200.pdf" TargetMode="External"/><Relationship Id="rId1" Type="http://schemas.openxmlformats.org/officeDocument/2006/relationships/hyperlink" Target="http://diditwidiatmoko.staff.telkomuniversity.ac.id/files/2017/12/16.-Visualisasi-Iklan-Indonesia-era-1950-1957.pdf" TargetMode="External"/><Relationship Id="rId6" Type="http://schemas.openxmlformats.org/officeDocument/2006/relationships/hyperlink" Target="http://diditwidiatmoko.staff.telkomuniversity.ac.id/files/2017/12/Metodologi-Penelitian-Visual.pdf" TargetMode="External"/><Relationship Id="rId11" Type="http://schemas.openxmlformats.org/officeDocument/2006/relationships/hyperlink" Target="http://diditwidiatmoko.staff.telkomuniversity.ac.id/files/2017/12/13.-Telkom-Speedy-Promotion-Vvisualization-Using-Local-Cultural-Elements.pdf" TargetMode="External"/><Relationship Id="rId24" Type="http://schemas.openxmlformats.org/officeDocument/2006/relationships/hyperlink" Target="http://siregar.staff.telkomuniversity.ac.id/files/2019/01/7-ICST-2017.pdf" TargetMode="External"/><Relationship Id="rId5" Type="http://schemas.openxmlformats.org/officeDocument/2006/relationships/hyperlink" Target="http://diditwidiatmoko.staff.telkomuniversity.ac.id/files/2017/12/Brand-Identity-Design-for-The-Bay-Bali-Jurnal-Komunikasi-Visual-Wimba-ITB-2014.pdf" TargetMode="External"/><Relationship Id="rId15" Type="http://schemas.openxmlformats.org/officeDocument/2006/relationships/hyperlink" Target="https://ieeexplore.ieee.org/document/7814977" TargetMode="External"/><Relationship Id="rId23" Type="http://schemas.openxmlformats.org/officeDocument/2006/relationships/hyperlink" Target="http://siregar.staff.telkomuniversity.ac.id/files/2019/01/8-ICOICT-2018LP-2.4-GHz-Wireless-Data-Acquisition-System-for-FIToplankton-ROV.pdf" TargetMode="External"/><Relationship Id="rId10" Type="http://schemas.openxmlformats.org/officeDocument/2006/relationships/hyperlink" Target="http://diditwidiatmoko.staff.telkomuniversity.ac.id/files/2017/12/11.-Visual-Character-Indonesian-Print-Advertisement-of.pdf" TargetMode="External"/><Relationship Id="rId19" Type="http://schemas.openxmlformats.org/officeDocument/2006/relationships/hyperlink" Target="https://jurnalteknologi.utm.my/index.php/jurnalteknologi/article/view/8713/5177" TargetMode="External"/><Relationship Id="rId4" Type="http://schemas.openxmlformats.org/officeDocument/2006/relationships/hyperlink" Target="http://diditwidiatmoko.staff.telkomuniversity.ac.id/files/2017/12/SISTEM-PENILAIAN-PROGRAM-TELEVISI-BERBASIS-AUDIO-VISUALprosiding-konferensi-Nasional-KNSI-Medan-tahun-2011.pdf" TargetMode="External"/><Relationship Id="rId9" Type="http://schemas.openxmlformats.org/officeDocument/2006/relationships/hyperlink" Target="http://diditwidiatmoko.staff.telkomuniversity.ac.id/files/2017/12/15.-Persuasi-Visual-Pada-Iklan-Rokok-Antara-Regulasi-dan-Menyiasati.pdf" TargetMode="External"/><Relationship Id="rId14" Type="http://schemas.openxmlformats.org/officeDocument/2006/relationships/hyperlink" Target="https://ieeexplore.ieee.org/document/8267816/" TargetMode="External"/><Relationship Id="rId22" Type="http://schemas.openxmlformats.org/officeDocument/2006/relationships/hyperlink" Target="http://siregar.staff.telkomuniversity.ac.id/files/2019/01/7-ICSTLP-2017-A-prototype-of-a-quadrotor-system-for-forest-fire-monitoring.pdf"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Y276"/>
  <sheetViews>
    <sheetView showGridLines="0" topLeftCell="B61" zoomScale="70" zoomScaleNormal="70" workbookViewId="0">
      <selection activeCell="P34" sqref="P34"/>
    </sheetView>
  </sheetViews>
  <sheetFormatPr defaultRowHeight="14.25" x14ac:dyDescent="0.45"/>
  <cols>
    <col min="1" max="1" width="5.19921875" style="1" customWidth="1"/>
    <col min="2" max="2" width="3.73046875" style="1" customWidth="1"/>
    <col min="3" max="3" width="3.46484375" style="1" customWidth="1"/>
    <col min="4" max="4" width="33.73046875" customWidth="1"/>
    <col min="5" max="5" width="10.19921875" customWidth="1"/>
    <col min="6" max="6" width="7.53125" customWidth="1"/>
    <col min="7" max="7" width="17.265625" customWidth="1"/>
    <col min="8" max="8" width="9.19921875" customWidth="1"/>
    <col min="9" max="10" width="11.46484375" customWidth="1"/>
    <col min="11" max="11" width="6.73046875" customWidth="1"/>
    <col min="13" max="13" width="11.73046875" customWidth="1"/>
    <col min="14" max="14" width="9.19921875" customWidth="1"/>
    <col min="16" max="16" width="14.46484375" customWidth="1"/>
  </cols>
  <sheetData>
    <row r="1" spans="1:24" x14ac:dyDescent="0.45">
      <c r="B1" s="18"/>
      <c r="C1" s="18"/>
      <c r="D1" s="18"/>
      <c r="E1" s="18"/>
      <c r="H1" s="769" t="s">
        <v>51</v>
      </c>
      <c r="K1" s="18"/>
      <c r="L1" s="18"/>
      <c r="M1" s="18"/>
    </row>
    <row r="2" spans="1:24" x14ac:dyDescent="0.45">
      <c r="B2" s="18"/>
      <c r="C2" s="18"/>
      <c r="D2" s="18"/>
      <c r="E2" s="18"/>
      <c r="H2" s="769" t="s">
        <v>0</v>
      </c>
      <c r="K2" s="18"/>
      <c r="L2" s="18"/>
      <c r="M2" s="18"/>
    </row>
    <row r="3" spans="1:24" x14ac:dyDescent="0.45">
      <c r="B3" s="18"/>
      <c r="C3" s="18"/>
      <c r="D3" s="18"/>
      <c r="E3" s="18"/>
      <c r="H3" s="769" t="s">
        <v>1</v>
      </c>
      <c r="K3" s="18"/>
      <c r="L3" s="18"/>
      <c r="M3" s="18"/>
    </row>
    <row r="4" spans="1:24" x14ac:dyDescent="0.45">
      <c r="B4" s="18"/>
      <c r="C4" s="18"/>
      <c r="D4" s="18"/>
      <c r="E4" s="18"/>
      <c r="H4" s="769" t="s">
        <v>260</v>
      </c>
      <c r="K4" s="18"/>
      <c r="L4" s="18"/>
      <c r="M4" s="18"/>
    </row>
    <row r="5" spans="1:24" x14ac:dyDescent="0.45">
      <c r="B5" s="18"/>
      <c r="C5" s="18"/>
      <c r="D5" s="18"/>
      <c r="E5" s="18"/>
      <c r="H5" s="769" t="s">
        <v>259</v>
      </c>
      <c r="K5" s="18"/>
      <c r="L5" s="18"/>
      <c r="M5" s="18"/>
    </row>
    <row r="6" spans="1:24" ht="161.25" customHeight="1" x14ac:dyDescent="0.45">
      <c r="B6" s="2"/>
      <c r="C6" s="2"/>
      <c r="D6" s="2"/>
      <c r="E6" s="2"/>
      <c r="H6" s="862" t="s">
        <v>261</v>
      </c>
      <c r="I6" s="862"/>
      <c r="J6" s="862"/>
      <c r="K6" s="862"/>
      <c r="L6" s="862"/>
      <c r="M6" s="862"/>
    </row>
    <row r="7" spans="1:24" ht="15.75" customHeight="1" x14ac:dyDescent="0.45">
      <c r="A7" s="863" t="s">
        <v>186</v>
      </c>
      <c r="B7" s="863"/>
      <c r="C7" s="863"/>
      <c r="D7" s="863"/>
      <c r="E7" s="863"/>
      <c r="F7" s="863"/>
      <c r="G7" s="863"/>
      <c r="H7" s="863"/>
      <c r="I7" s="863"/>
      <c r="J7" s="863"/>
      <c r="K7" s="863"/>
      <c r="L7" s="863"/>
      <c r="M7" s="863"/>
    </row>
    <row r="8" spans="1:24" ht="15.75" customHeight="1" x14ac:dyDescent="0.45">
      <c r="A8" s="863" t="s">
        <v>307</v>
      </c>
      <c r="B8" s="863"/>
      <c r="C8" s="863"/>
      <c r="D8" s="863"/>
      <c r="E8" s="863"/>
      <c r="F8" s="863"/>
      <c r="G8" s="863"/>
      <c r="H8" s="863"/>
      <c r="I8" s="863"/>
      <c r="J8" s="863"/>
      <c r="K8" s="863"/>
      <c r="L8" s="863"/>
      <c r="M8" s="863"/>
    </row>
    <row r="9" spans="1:24" ht="15.75" customHeight="1" x14ac:dyDescent="0.45">
      <c r="A9" s="483"/>
      <c r="B9" s="483"/>
      <c r="C9" s="483"/>
      <c r="D9" s="483"/>
      <c r="E9" s="483"/>
      <c r="F9" s="483"/>
      <c r="G9" s="483"/>
      <c r="H9" s="483"/>
      <c r="J9" s="483"/>
      <c r="K9" s="483"/>
      <c r="L9" s="482"/>
      <c r="M9" s="482"/>
    </row>
    <row r="10" spans="1:24" x14ac:dyDescent="0.45">
      <c r="B10" s="484"/>
      <c r="C10" s="484"/>
      <c r="D10" s="487"/>
      <c r="H10" s="491" t="s">
        <v>309</v>
      </c>
      <c r="I10" s="485"/>
      <c r="J10" s="485"/>
    </row>
    <row r="11" spans="1:24" x14ac:dyDescent="0.45">
      <c r="A11" s="488"/>
      <c r="B11" s="489"/>
      <c r="C11" s="489"/>
      <c r="D11" s="487"/>
      <c r="H11" s="493" t="s">
        <v>491</v>
      </c>
      <c r="I11" s="486" t="s">
        <v>503</v>
      </c>
      <c r="J11" s="493" t="s">
        <v>493</v>
      </c>
      <c r="K11" s="486">
        <v>2015</v>
      </c>
    </row>
    <row r="12" spans="1:24" x14ac:dyDescent="0.45">
      <c r="A12" s="488"/>
      <c r="B12" s="489"/>
      <c r="C12" s="489"/>
      <c r="D12" s="487"/>
      <c r="H12" s="492" t="s">
        <v>518</v>
      </c>
      <c r="I12" s="492"/>
      <c r="J12" s="492"/>
      <c r="K12" s="492"/>
      <c r="O12" s="576" t="s">
        <v>68</v>
      </c>
      <c r="P12" s="576"/>
      <c r="Q12" s="576"/>
      <c r="R12" s="576"/>
      <c r="S12" s="576"/>
      <c r="T12" s="576"/>
      <c r="U12" s="576"/>
      <c r="V12" s="576"/>
      <c r="W12" s="576"/>
      <c r="X12" s="576"/>
    </row>
    <row r="13" spans="1:24" x14ac:dyDescent="0.45">
      <c r="A13" s="490"/>
      <c r="B13" s="489"/>
      <c r="C13" s="489"/>
      <c r="D13" s="489"/>
      <c r="E13" s="3"/>
      <c r="H13" s="492" t="s">
        <v>492</v>
      </c>
      <c r="I13" s="486" t="s">
        <v>504</v>
      </c>
      <c r="J13" s="493" t="s">
        <v>493</v>
      </c>
      <c r="K13" s="486">
        <v>2018</v>
      </c>
      <c r="O13" s="15"/>
      <c r="P13" s="15" t="s">
        <v>70</v>
      </c>
      <c r="Q13" s="15"/>
      <c r="R13" s="15"/>
      <c r="S13" s="15"/>
      <c r="T13" s="15"/>
      <c r="U13" s="15"/>
      <c r="V13" s="15"/>
      <c r="W13" s="15"/>
      <c r="X13" s="15"/>
    </row>
    <row r="14" spans="1:24" ht="15.75" x14ac:dyDescent="0.5">
      <c r="A14" s="494"/>
      <c r="B14" s="864" t="s">
        <v>34</v>
      </c>
      <c r="C14" s="864"/>
      <c r="D14" s="864"/>
      <c r="E14" s="864"/>
      <c r="F14" s="864"/>
      <c r="G14" s="864"/>
      <c r="H14" s="864"/>
      <c r="I14" s="864"/>
      <c r="J14" s="864"/>
      <c r="K14" s="864"/>
      <c r="L14" s="864"/>
      <c r="M14" s="864"/>
      <c r="O14" s="16"/>
      <c r="P14" s="553" t="s">
        <v>69</v>
      </c>
      <c r="Q14" s="553"/>
      <c r="R14" s="553"/>
      <c r="S14" s="553"/>
      <c r="T14" s="553"/>
      <c r="U14" s="553"/>
      <c r="V14" s="553"/>
      <c r="W14" s="553"/>
      <c r="X14" s="553"/>
    </row>
    <row r="15" spans="1:24" x14ac:dyDescent="0.45">
      <c r="A15" s="495">
        <v>1</v>
      </c>
      <c r="B15" s="953" t="s">
        <v>190</v>
      </c>
      <c r="C15" s="953"/>
      <c r="D15" s="953"/>
      <c r="E15" s="953"/>
      <c r="F15" s="865" t="s">
        <v>861</v>
      </c>
      <c r="G15" s="865"/>
      <c r="H15" s="865"/>
      <c r="I15" s="865"/>
      <c r="J15" s="865"/>
      <c r="K15" s="865"/>
      <c r="L15" s="865"/>
      <c r="M15" s="865"/>
      <c r="O15" s="17"/>
      <c r="P15" s="554" t="s">
        <v>612</v>
      </c>
      <c r="Q15" s="523"/>
      <c r="R15" s="523"/>
      <c r="S15" s="523"/>
      <c r="T15" s="523"/>
      <c r="U15" s="523"/>
      <c r="V15" s="523"/>
      <c r="W15" s="523"/>
      <c r="X15" s="523"/>
    </row>
    <row r="16" spans="1:24" x14ac:dyDescent="0.45">
      <c r="A16" s="495">
        <v>2</v>
      </c>
      <c r="B16" s="954" t="s">
        <v>621</v>
      </c>
      <c r="C16" s="954"/>
      <c r="D16" s="954"/>
      <c r="E16" s="954"/>
      <c r="F16" s="967" t="s">
        <v>862</v>
      </c>
      <c r="G16" s="967"/>
      <c r="H16" s="967"/>
      <c r="I16" s="967"/>
      <c r="J16" s="967"/>
      <c r="K16" s="967"/>
      <c r="L16" s="967"/>
      <c r="M16" s="967"/>
      <c r="O16" s="551"/>
      <c r="P16" s="552" t="s">
        <v>610</v>
      </c>
      <c r="Q16" s="551"/>
      <c r="R16" s="551"/>
      <c r="S16" s="551"/>
      <c r="T16" s="551"/>
      <c r="U16" s="551"/>
      <c r="V16" s="551"/>
      <c r="W16" s="551"/>
      <c r="X16" s="551"/>
    </row>
    <row r="17" spans="1:24" x14ac:dyDescent="0.45">
      <c r="A17" s="495">
        <v>3</v>
      </c>
      <c r="B17" s="954" t="s">
        <v>520</v>
      </c>
      <c r="C17" s="954"/>
      <c r="D17" s="954"/>
      <c r="E17" s="954"/>
      <c r="F17" s="865" t="s">
        <v>66</v>
      </c>
      <c r="G17" s="865"/>
      <c r="H17" s="865"/>
      <c r="I17" s="865"/>
      <c r="J17" s="865"/>
      <c r="K17" s="865"/>
      <c r="L17" s="865"/>
      <c r="M17" s="865"/>
      <c r="O17" s="551"/>
      <c r="P17" s="552" t="s">
        <v>613</v>
      </c>
      <c r="Q17" s="551"/>
      <c r="R17" s="551"/>
      <c r="S17" s="551"/>
      <c r="T17" s="551"/>
      <c r="U17" s="551"/>
      <c r="V17" s="551"/>
      <c r="W17" s="551"/>
      <c r="X17" s="551"/>
    </row>
    <row r="18" spans="1:24" x14ac:dyDescent="0.45">
      <c r="A18" s="495">
        <v>4</v>
      </c>
      <c r="B18" s="954" t="s">
        <v>8</v>
      </c>
      <c r="C18" s="954"/>
      <c r="D18" s="954"/>
      <c r="E18" s="954"/>
      <c r="F18" s="865" t="s">
        <v>863</v>
      </c>
      <c r="G18" s="865"/>
      <c r="H18" s="865"/>
      <c r="I18" s="865"/>
      <c r="J18" s="865"/>
      <c r="K18" s="865"/>
      <c r="L18" s="865"/>
      <c r="M18" s="865"/>
      <c r="O18" s="551"/>
      <c r="P18" s="552" t="s">
        <v>617</v>
      </c>
      <c r="Q18" s="551"/>
      <c r="R18" s="551"/>
      <c r="S18" s="551"/>
      <c r="T18" s="551"/>
      <c r="U18" s="551"/>
      <c r="V18" s="551"/>
      <c r="W18" s="551"/>
      <c r="X18" s="551"/>
    </row>
    <row r="19" spans="1:24" x14ac:dyDescent="0.45">
      <c r="A19" s="495">
        <v>5</v>
      </c>
      <c r="B19" s="954" t="s">
        <v>4</v>
      </c>
      <c r="C19" s="954"/>
      <c r="D19" s="954"/>
      <c r="E19" s="954"/>
      <c r="F19" s="865" t="s">
        <v>864</v>
      </c>
      <c r="G19" s="865"/>
      <c r="H19" s="865"/>
      <c r="I19" s="865"/>
      <c r="J19" s="865"/>
      <c r="K19" s="865"/>
      <c r="L19" s="865"/>
      <c r="M19" s="865"/>
      <c r="O19" s="551"/>
      <c r="P19" s="552" t="s">
        <v>611</v>
      </c>
      <c r="Q19" s="551"/>
      <c r="R19" s="551"/>
      <c r="S19" s="551"/>
      <c r="T19" s="551"/>
      <c r="U19" s="551"/>
      <c r="V19" s="551"/>
      <c r="W19" s="551"/>
      <c r="X19" s="551"/>
    </row>
    <row r="20" spans="1:24" x14ac:dyDescent="0.45">
      <c r="A20" s="495">
        <v>6</v>
      </c>
      <c r="B20" s="954" t="s">
        <v>521</v>
      </c>
      <c r="C20" s="954"/>
      <c r="D20" s="954"/>
      <c r="E20" s="954"/>
      <c r="F20" s="865" t="s">
        <v>337</v>
      </c>
      <c r="G20" s="865"/>
      <c r="H20" s="865"/>
      <c r="I20" s="865"/>
      <c r="J20" s="865"/>
      <c r="K20" s="865"/>
      <c r="L20" s="865"/>
      <c r="M20" s="865"/>
      <c r="O20" s="555" t="s">
        <v>615</v>
      </c>
    </row>
    <row r="21" spans="1:24" x14ac:dyDescent="0.45">
      <c r="A21" s="495">
        <v>7</v>
      </c>
      <c r="B21" s="954" t="s">
        <v>522</v>
      </c>
      <c r="C21" s="954"/>
      <c r="D21" s="954"/>
      <c r="E21" s="954"/>
      <c r="F21" s="865" t="s">
        <v>865</v>
      </c>
      <c r="G21" s="865"/>
      <c r="H21" s="865"/>
      <c r="I21" s="950">
        <v>42339</v>
      </c>
      <c r="J21" s="951"/>
      <c r="K21" s="951"/>
      <c r="L21" s="951"/>
      <c r="M21" s="952"/>
    </row>
    <row r="22" spans="1:24" x14ac:dyDescent="0.45">
      <c r="A22" s="495">
        <v>8</v>
      </c>
      <c r="B22" s="954" t="s">
        <v>6</v>
      </c>
      <c r="C22" s="954"/>
      <c r="D22" s="954"/>
      <c r="E22" s="954"/>
      <c r="F22" s="865" t="s">
        <v>576</v>
      </c>
      <c r="G22" s="865"/>
      <c r="H22" s="865"/>
      <c r="I22" s="865"/>
      <c r="J22" s="865"/>
      <c r="K22" s="865"/>
      <c r="L22" s="865"/>
      <c r="M22" s="865"/>
    </row>
    <row r="23" spans="1:24" x14ac:dyDescent="0.45">
      <c r="A23" s="495">
        <v>9</v>
      </c>
      <c r="B23" s="956" t="s">
        <v>587</v>
      </c>
      <c r="C23" s="957"/>
      <c r="D23" s="957"/>
      <c r="E23" s="958"/>
      <c r="F23" s="816" t="s">
        <v>866</v>
      </c>
      <c r="G23" s="815"/>
      <c r="H23" s="815"/>
      <c r="I23" s="815"/>
      <c r="J23" s="815"/>
      <c r="K23" s="815"/>
      <c r="L23" s="815"/>
      <c r="M23" s="814"/>
    </row>
    <row r="24" spans="1:24" x14ac:dyDescent="0.45">
      <c r="A24" s="495">
        <v>10</v>
      </c>
      <c r="B24" s="956" t="s">
        <v>588</v>
      </c>
      <c r="C24" s="957"/>
      <c r="D24" s="957"/>
      <c r="E24" s="958"/>
      <c r="F24" s="816" t="s">
        <v>867</v>
      </c>
      <c r="G24" s="817"/>
      <c r="H24" s="817"/>
      <c r="I24" s="817"/>
      <c r="J24" s="817"/>
      <c r="K24" s="817"/>
      <c r="L24" s="817"/>
      <c r="M24" s="818"/>
    </row>
    <row r="25" spans="1:24" ht="45" customHeight="1" x14ac:dyDescent="0.45">
      <c r="A25" s="495">
        <v>11</v>
      </c>
      <c r="B25" s="955" t="s">
        <v>523</v>
      </c>
      <c r="C25" s="955"/>
      <c r="D25" s="955"/>
      <c r="E25" s="955"/>
      <c r="F25" s="866" t="str">
        <f>IFERROR(VLOOKUP(F22,List!$C$2:$D$29,2,0),"")</f>
        <v>D3 Teknik Komputer Fakultas Ilmu Terapan di Universitas Telkom pada Kopertis Wilayah IV Jawa Barat dan Banten</v>
      </c>
      <c r="G25" s="866"/>
      <c r="H25" s="866"/>
      <c r="I25" s="866"/>
      <c r="J25" s="866"/>
      <c r="K25" s="866"/>
      <c r="L25" s="866"/>
      <c r="M25" s="866"/>
    </row>
    <row r="26" spans="1:24" ht="15.75" x14ac:dyDescent="0.5">
      <c r="A26" s="127" t="s">
        <v>10</v>
      </c>
      <c r="B26" s="864" t="s">
        <v>248</v>
      </c>
      <c r="C26" s="864"/>
      <c r="D26" s="864"/>
      <c r="E26" s="864"/>
      <c r="F26" s="864"/>
      <c r="G26" s="864"/>
      <c r="H26" s="864"/>
      <c r="I26" s="864"/>
      <c r="J26" s="864"/>
      <c r="K26" s="864"/>
      <c r="L26" s="864"/>
      <c r="M26" s="864"/>
    </row>
    <row r="27" spans="1:24" s="583" customFormat="1" ht="22.5" customHeight="1" x14ac:dyDescent="0.45">
      <c r="A27" s="907" t="s">
        <v>42</v>
      </c>
      <c r="B27" s="911" t="s">
        <v>332</v>
      </c>
      <c r="C27" s="911"/>
      <c r="D27" s="911"/>
      <c r="E27" s="911"/>
      <c r="F27" s="911"/>
      <c r="G27" s="911"/>
      <c r="H27" s="911"/>
      <c r="I27" s="911"/>
      <c r="J27" s="911"/>
      <c r="K27" s="911"/>
      <c r="L27" s="911"/>
      <c r="M27" s="911"/>
      <c r="N27" s="585"/>
    </row>
    <row r="28" spans="1:24" s="583" customFormat="1" ht="18" customHeight="1" x14ac:dyDescent="0.45">
      <c r="A28" s="946"/>
      <c r="B28" s="908" t="s">
        <v>657</v>
      </c>
      <c r="C28" s="908"/>
      <c r="D28" s="908"/>
      <c r="E28" s="908"/>
      <c r="F28" s="908"/>
      <c r="G28" s="908"/>
      <c r="H28" s="911" t="s">
        <v>11</v>
      </c>
      <c r="I28" s="911"/>
      <c r="J28" s="911"/>
      <c r="K28" s="911"/>
      <c r="L28" s="911"/>
      <c r="M28" s="911"/>
    </row>
    <row r="29" spans="1:24" s="583" customFormat="1" ht="18" customHeight="1" x14ac:dyDescent="0.45">
      <c r="A29" s="946"/>
      <c r="B29" s="908"/>
      <c r="C29" s="908"/>
      <c r="D29" s="908"/>
      <c r="E29" s="908"/>
      <c r="F29" s="908"/>
      <c r="G29" s="908"/>
      <c r="H29" s="911" t="s">
        <v>334</v>
      </c>
      <c r="I29" s="911"/>
      <c r="J29" s="911"/>
      <c r="K29" s="911" t="s">
        <v>12</v>
      </c>
      <c r="L29" s="911"/>
      <c r="M29" s="911"/>
    </row>
    <row r="30" spans="1:24" s="583" customFormat="1" ht="18" customHeight="1" x14ac:dyDescent="0.45">
      <c r="A30" s="947"/>
      <c r="B30" s="909"/>
      <c r="C30" s="909"/>
      <c r="D30" s="909"/>
      <c r="E30" s="909"/>
      <c r="F30" s="909"/>
      <c r="G30" s="909"/>
      <c r="H30" s="592" t="s">
        <v>14</v>
      </c>
      <c r="I30" s="592" t="s">
        <v>13</v>
      </c>
      <c r="J30" s="592" t="s">
        <v>16</v>
      </c>
      <c r="K30" s="592" t="s">
        <v>14</v>
      </c>
      <c r="L30" s="592" t="s">
        <v>13</v>
      </c>
      <c r="M30" s="592" t="s">
        <v>16</v>
      </c>
    </row>
    <row r="31" spans="1:24" s="583" customFormat="1" ht="17.25" customHeight="1" x14ac:dyDescent="0.45">
      <c r="A31" s="593">
        <v>1</v>
      </c>
      <c r="B31" s="901">
        <v>2</v>
      </c>
      <c r="C31" s="902"/>
      <c r="D31" s="902"/>
      <c r="E31" s="902"/>
      <c r="F31" s="902"/>
      <c r="G31" s="903"/>
      <c r="H31" s="586">
        <v>3</v>
      </c>
      <c r="I31" s="586">
        <v>4</v>
      </c>
      <c r="J31" s="586">
        <v>5</v>
      </c>
      <c r="K31" s="586">
        <v>6</v>
      </c>
      <c r="L31" s="586">
        <v>7</v>
      </c>
      <c r="M31" s="586">
        <v>8</v>
      </c>
    </row>
    <row r="32" spans="1:24" s="598" customFormat="1" ht="27" customHeight="1" x14ac:dyDescent="0.35">
      <c r="A32" s="594" t="s">
        <v>2</v>
      </c>
      <c r="B32" s="948" t="s">
        <v>658</v>
      </c>
      <c r="C32" s="949"/>
      <c r="D32" s="949"/>
      <c r="E32" s="949"/>
      <c r="F32" s="949"/>
      <c r="G32" s="949"/>
      <c r="H32" s="595"/>
      <c r="I32" s="596"/>
      <c r="J32" s="586"/>
      <c r="K32" s="597"/>
      <c r="L32" s="597"/>
      <c r="M32" s="597"/>
    </row>
    <row r="33" spans="1:17" s="598" customFormat="1" ht="21" customHeight="1" x14ac:dyDescent="0.35">
      <c r="A33" s="599"/>
      <c r="B33" s="600" t="s">
        <v>15</v>
      </c>
      <c r="C33" s="867" t="s">
        <v>115</v>
      </c>
      <c r="D33" s="868"/>
      <c r="E33" s="868"/>
      <c r="F33" s="868"/>
      <c r="G33" s="869"/>
      <c r="H33" s="595"/>
      <c r="I33" s="596"/>
      <c r="J33" s="586"/>
      <c r="K33" s="597"/>
      <c r="L33" s="597"/>
      <c r="M33" s="597"/>
    </row>
    <row r="34" spans="1:17" s="605" customFormat="1" ht="21" customHeight="1" x14ac:dyDescent="0.35">
      <c r="A34" s="601"/>
      <c r="B34" s="579"/>
      <c r="C34" s="602">
        <v>1</v>
      </c>
      <c r="D34" s="867" t="s">
        <v>782</v>
      </c>
      <c r="E34" s="868"/>
      <c r="F34" s="868"/>
      <c r="G34" s="869"/>
      <c r="H34" s="603"/>
      <c r="I34" s="602" t="str">
        <f>IF('LAMPIRAN II DONE'!J27="RUMUS","",'LAMPIRAN II DONE'!J27)</f>
        <v/>
      </c>
      <c r="J34" s="603" t="str">
        <f>IF(I34=0,"",I34)</f>
        <v/>
      </c>
      <c r="K34" s="604"/>
      <c r="L34" s="604"/>
      <c r="M34" s="604"/>
    </row>
    <row r="35" spans="1:17" s="605" customFormat="1" ht="21" customHeight="1" x14ac:dyDescent="0.35">
      <c r="A35" s="601"/>
      <c r="B35" s="579"/>
      <c r="C35" s="602">
        <v>2</v>
      </c>
      <c r="D35" s="608" t="s">
        <v>660</v>
      </c>
      <c r="E35" s="770"/>
      <c r="F35" s="770"/>
      <c r="G35" s="771"/>
      <c r="H35" s="772"/>
      <c r="I35" s="602" t="str">
        <f>IF('LAMPIRAN II DONE'!J28="RUMUS","",'LAMPIRAN II DONE'!J28)</f>
        <v/>
      </c>
      <c r="J35" s="603" t="str">
        <f>IF(I35=0,"",I35)</f>
        <v/>
      </c>
      <c r="K35" s="773"/>
      <c r="L35" s="773"/>
      <c r="M35" s="773"/>
    </row>
    <row r="36" spans="1:17" s="605" customFormat="1" ht="21" customHeight="1" x14ac:dyDescent="0.35">
      <c r="A36" s="606"/>
      <c r="B36" s="607"/>
      <c r="C36" s="602">
        <v>2</v>
      </c>
      <c r="D36" s="867" t="s">
        <v>659</v>
      </c>
      <c r="E36" s="868"/>
      <c r="F36" s="868"/>
      <c r="G36" s="869"/>
      <c r="H36" s="603"/>
      <c r="I36" s="602" t="str">
        <f>IF('LAMPIRAN II DONE'!J29="RUMUS","",'LAMPIRAN II DONE'!J29)</f>
        <v/>
      </c>
      <c r="J36" s="603" t="str">
        <f>IF(I36=0,"",I36)</f>
        <v/>
      </c>
      <c r="K36" s="604"/>
      <c r="L36" s="604"/>
      <c r="M36" s="604"/>
    </row>
    <row r="37" spans="1:17" s="605" customFormat="1" ht="21" customHeight="1" x14ac:dyDescent="0.35">
      <c r="A37" s="606"/>
      <c r="B37" s="611" t="s">
        <v>17</v>
      </c>
      <c r="C37" s="959" t="s">
        <v>661</v>
      </c>
      <c r="D37" s="868"/>
      <c r="E37" s="868"/>
      <c r="F37" s="868"/>
      <c r="G37" s="869"/>
      <c r="H37" s="603"/>
      <c r="I37" s="602"/>
      <c r="J37" s="603"/>
      <c r="K37" s="604"/>
      <c r="L37" s="604"/>
      <c r="M37" s="604"/>
    </row>
    <row r="38" spans="1:17" s="605" customFormat="1" ht="21" customHeight="1" x14ac:dyDescent="0.35">
      <c r="A38" s="612"/>
      <c r="B38" s="579"/>
      <c r="C38" s="608"/>
      <c r="D38" s="609" t="s">
        <v>662</v>
      </c>
      <c r="E38" s="609"/>
      <c r="F38" s="609"/>
      <c r="G38" s="610"/>
      <c r="H38" s="603"/>
      <c r="I38" s="613" t="str">
        <f>IF('LAMPIRAN II DONE'!G34=0,"",'LAMPIRAN II DONE'!G34)</f>
        <v/>
      </c>
      <c r="J38" s="603" t="str">
        <f>IF(I38=0,"",I38)</f>
        <v/>
      </c>
      <c r="K38" s="604"/>
      <c r="L38" s="604"/>
      <c r="M38" s="604"/>
    </row>
    <row r="39" spans="1:17" s="605" customFormat="1" ht="27" customHeight="1" x14ac:dyDescent="0.35">
      <c r="A39" s="614" t="s">
        <v>10</v>
      </c>
      <c r="B39" s="960" t="s">
        <v>663</v>
      </c>
      <c r="C39" s="961"/>
      <c r="D39" s="961"/>
      <c r="E39" s="961"/>
      <c r="F39" s="961"/>
      <c r="G39" s="962"/>
      <c r="H39" s="603"/>
      <c r="I39" s="613"/>
      <c r="J39" s="603"/>
      <c r="K39" s="604"/>
      <c r="L39" s="604"/>
      <c r="M39" s="604"/>
    </row>
    <row r="40" spans="1:17" s="605" customFormat="1" ht="61.5" customHeight="1" x14ac:dyDescent="0.35">
      <c r="A40" s="615"/>
      <c r="B40" s="616" t="s">
        <v>15</v>
      </c>
      <c r="C40" s="963" t="s">
        <v>664</v>
      </c>
      <c r="D40" s="917"/>
      <c r="E40" s="917"/>
      <c r="F40" s="917"/>
      <c r="G40" s="918"/>
      <c r="H40" s="603"/>
      <c r="I40" s="617"/>
      <c r="J40" s="617"/>
      <c r="K40" s="604"/>
      <c r="L40" s="604"/>
      <c r="M40" s="604"/>
      <c r="P40" s="618"/>
      <c r="Q40" s="618"/>
    </row>
    <row r="41" spans="1:17" s="605" customFormat="1" ht="102.75" customHeight="1" x14ac:dyDescent="0.45">
      <c r="A41" s="619"/>
      <c r="B41" s="620"/>
      <c r="C41" s="621"/>
      <c r="D41" s="964" t="s">
        <v>665</v>
      </c>
      <c r="E41" s="965"/>
      <c r="F41" s="965"/>
      <c r="G41" s="966"/>
      <c r="H41" s="622"/>
      <c r="I41" s="602">
        <f>IF('LAMPIRAN II DONE'!$G$206=0,"",'LAMPIRAN II DONE'!$G$206)</f>
        <v>40.5</v>
      </c>
      <c r="J41" s="603">
        <f>IF(I41=0,"",I41)</f>
        <v>40.5</v>
      </c>
      <c r="K41" s="622"/>
      <c r="L41" s="622"/>
      <c r="M41" s="622"/>
    </row>
    <row r="42" spans="1:17" s="605" customFormat="1" ht="20.25" customHeight="1" x14ac:dyDescent="0.35">
      <c r="A42" s="907" t="s">
        <v>42</v>
      </c>
      <c r="B42" s="910" t="s">
        <v>332</v>
      </c>
      <c r="C42" s="910"/>
      <c r="D42" s="910"/>
      <c r="E42" s="910"/>
      <c r="F42" s="910"/>
      <c r="G42" s="910"/>
      <c r="H42" s="910"/>
      <c r="I42" s="910"/>
      <c r="J42" s="910"/>
      <c r="K42" s="910"/>
      <c r="L42" s="910"/>
      <c r="M42" s="910"/>
    </row>
    <row r="43" spans="1:17" s="605" customFormat="1" ht="20.25" customHeight="1" x14ac:dyDescent="0.35">
      <c r="A43" s="908"/>
      <c r="B43" s="908" t="s">
        <v>333</v>
      </c>
      <c r="C43" s="908"/>
      <c r="D43" s="908"/>
      <c r="E43" s="908"/>
      <c r="F43" s="908"/>
      <c r="G43" s="908"/>
      <c r="H43" s="911" t="s">
        <v>11</v>
      </c>
      <c r="I43" s="911"/>
      <c r="J43" s="911"/>
      <c r="K43" s="911"/>
      <c r="L43" s="911"/>
      <c r="M43" s="911"/>
    </row>
    <row r="44" spans="1:17" s="605" customFormat="1" ht="20.25" customHeight="1" x14ac:dyDescent="0.35">
      <c r="A44" s="908"/>
      <c r="B44" s="908"/>
      <c r="C44" s="908"/>
      <c r="D44" s="908"/>
      <c r="E44" s="908"/>
      <c r="F44" s="908"/>
      <c r="G44" s="908"/>
      <c r="H44" s="911" t="s">
        <v>334</v>
      </c>
      <c r="I44" s="911"/>
      <c r="J44" s="911"/>
      <c r="K44" s="911" t="s">
        <v>12</v>
      </c>
      <c r="L44" s="911"/>
      <c r="M44" s="911"/>
    </row>
    <row r="45" spans="1:17" s="605" customFormat="1" ht="20.25" customHeight="1" x14ac:dyDescent="0.35">
      <c r="A45" s="909"/>
      <c r="B45" s="909"/>
      <c r="C45" s="909"/>
      <c r="D45" s="909"/>
      <c r="E45" s="909"/>
      <c r="F45" s="909"/>
      <c r="G45" s="909"/>
      <c r="H45" s="592" t="s">
        <v>14</v>
      </c>
      <c r="I45" s="592" t="s">
        <v>13</v>
      </c>
      <c r="J45" s="592" t="s">
        <v>16</v>
      </c>
      <c r="K45" s="592" t="s">
        <v>14</v>
      </c>
      <c r="L45" s="592" t="s">
        <v>13</v>
      </c>
      <c r="M45" s="592" t="s">
        <v>16</v>
      </c>
    </row>
    <row r="46" spans="1:17" s="605" customFormat="1" ht="20.25" customHeight="1" x14ac:dyDescent="0.35">
      <c r="A46" s="586">
        <v>1</v>
      </c>
      <c r="B46" s="901">
        <v>2</v>
      </c>
      <c r="C46" s="902"/>
      <c r="D46" s="902"/>
      <c r="E46" s="902"/>
      <c r="F46" s="902"/>
      <c r="G46" s="903"/>
      <c r="H46" s="586">
        <v>3</v>
      </c>
      <c r="I46" s="586">
        <v>4</v>
      </c>
      <c r="J46" s="586">
        <v>5</v>
      </c>
      <c r="K46" s="586">
        <v>6</v>
      </c>
      <c r="L46" s="586">
        <v>7</v>
      </c>
      <c r="M46" s="586">
        <v>8</v>
      </c>
    </row>
    <row r="47" spans="1:17" s="605" customFormat="1" ht="24" customHeight="1" x14ac:dyDescent="0.35">
      <c r="A47" s="623"/>
      <c r="B47" s="624" t="s">
        <v>17</v>
      </c>
      <c r="C47" s="935" t="s">
        <v>666</v>
      </c>
      <c r="D47" s="920"/>
      <c r="E47" s="920"/>
      <c r="F47" s="920"/>
      <c r="G47" s="912"/>
      <c r="H47" s="603"/>
      <c r="I47" s="625"/>
      <c r="J47" s="603"/>
      <c r="K47" s="604"/>
      <c r="L47" s="604"/>
      <c r="M47" s="604"/>
    </row>
    <row r="48" spans="1:17" s="605" customFormat="1" ht="21" customHeight="1" x14ac:dyDescent="0.35">
      <c r="A48" s="615"/>
      <c r="B48" s="626"/>
      <c r="C48" s="627"/>
      <c r="D48" s="920" t="s">
        <v>667</v>
      </c>
      <c r="E48" s="920"/>
      <c r="F48" s="920"/>
      <c r="G48" s="912"/>
      <c r="H48" s="603"/>
      <c r="I48" s="625" t="str">
        <f>IF('LAMPIRAN II DONE'!G234=0,"",'LAMPIRAN II DONE'!G234)</f>
        <v/>
      </c>
      <c r="J48" s="603" t="str">
        <f>IF(I48=0,"",I48)</f>
        <v/>
      </c>
      <c r="K48" s="604"/>
      <c r="L48" s="604"/>
      <c r="M48" s="604"/>
    </row>
    <row r="49" spans="1:20" s="605" customFormat="1" ht="32.25" customHeight="1" x14ac:dyDescent="0.35">
      <c r="A49" s="628"/>
      <c r="B49" s="629" t="s">
        <v>118</v>
      </c>
      <c r="C49" s="921" t="s">
        <v>668</v>
      </c>
      <c r="D49" s="917"/>
      <c r="E49" s="917"/>
      <c r="F49" s="917"/>
      <c r="G49" s="918"/>
      <c r="H49" s="630"/>
      <c r="I49" s="625"/>
      <c r="J49" s="603"/>
      <c r="K49" s="604"/>
      <c r="L49" s="604"/>
      <c r="M49" s="604"/>
    </row>
    <row r="50" spans="1:20" s="605" customFormat="1" ht="35.25" customHeight="1" x14ac:dyDescent="0.35">
      <c r="A50" s="628"/>
      <c r="B50" s="631"/>
      <c r="C50" s="627"/>
      <c r="D50" s="920" t="s">
        <v>669</v>
      </c>
      <c r="E50" s="920"/>
      <c r="F50" s="920"/>
      <c r="G50" s="912"/>
      <c r="H50" s="630"/>
      <c r="I50" s="625">
        <f>IF('LAMPIRAN II DONE'!G262=0,"",'LAMPIRAN II DONE'!G262)</f>
        <v>1</v>
      </c>
      <c r="J50" s="603">
        <f>IF(I50=0,"",I50)</f>
        <v>1</v>
      </c>
      <c r="K50" s="604"/>
      <c r="L50" s="604"/>
      <c r="M50" s="604"/>
      <c r="S50" s="605">
        <v>0</v>
      </c>
      <c r="T50" s="605" t="str">
        <f>TRIM(S50)</f>
        <v>0</v>
      </c>
    </row>
    <row r="51" spans="1:20" s="605" customFormat="1" ht="32.25" customHeight="1" x14ac:dyDescent="0.35">
      <c r="A51" s="632"/>
      <c r="B51" s="616" t="s">
        <v>119</v>
      </c>
      <c r="C51" s="916" t="s">
        <v>670</v>
      </c>
      <c r="D51" s="917"/>
      <c r="E51" s="917"/>
      <c r="F51" s="917"/>
      <c r="G51" s="918"/>
      <c r="H51" s="630"/>
      <c r="I51" s="625"/>
      <c r="J51" s="603"/>
      <c r="K51" s="604"/>
      <c r="L51" s="604"/>
      <c r="M51" s="604"/>
      <c r="S51" s="605">
        <v>1</v>
      </c>
      <c r="T51" s="605" t="str">
        <f t="shared" ref="T51:T52" si="0">TRIM(S51)</f>
        <v>1</v>
      </c>
    </row>
    <row r="52" spans="1:20" s="605" customFormat="1" ht="21" customHeight="1" x14ac:dyDescent="0.35">
      <c r="A52" s="632"/>
      <c r="B52" s="633"/>
      <c r="C52" s="634">
        <v>1</v>
      </c>
      <c r="D52" s="919" t="s">
        <v>671</v>
      </c>
      <c r="E52" s="920"/>
      <c r="F52" s="920"/>
      <c r="G52" s="912"/>
      <c r="H52" s="630"/>
      <c r="I52" s="625"/>
      <c r="J52" s="603"/>
      <c r="K52" s="604"/>
      <c r="L52" s="604"/>
      <c r="M52" s="604"/>
      <c r="S52" s="605">
        <v>2</v>
      </c>
      <c r="T52" s="605" t="str">
        <f t="shared" si="0"/>
        <v>2</v>
      </c>
    </row>
    <row r="53" spans="1:20" s="605" customFormat="1" ht="21" customHeight="1" x14ac:dyDescent="0.35">
      <c r="A53" s="632"/>
      <c r="B53" s="633"/>
      <c r="C53" s="635"/>
      <c r="D53" s="636" t="s">
        <v>348</v>
      </c>
      <c r="E53" s="888" t="s">
        <v>349</v>
      </c>
      <c r="F53" s="888"/>
      <c r="G53" s="888"/>
      <c r="H53" s="630"/>
      <c r="I53" s="625" t="str">
        <f>IF(SUMIFS('LAMPIRAN II DONE'!$F$265:$F$527,'LAMPIRAN II DONE'!$I$265:$I$527,"pembimbing utama",'LAMPIRAN II DONE'!$J$265:$J$527,"disertasi")=0,"",SUMIFS('LAMPIRAN II DONE'!$F$265:$F$527,'LAMPIRAN II DONE'!$I$265:$I$527,"pembimbing utama",'LAMPIRAN II DONE'!$J$265:$J$527,"disertasi"))</f>
        <v/>
      </c>
      <c r="J53" s="603" t="str">
        <f>IF(I53=0,"",I53)</f>
        <v/>
      </c>
      <c r="K53" s="604"/>
      <c r="L53" s="604"/>
      <c r="M53" s="604"/>
    </row>
    <row r="54" spans="1:20" s="605" customFormat="1" ht="21" customHeight="1" x14ac:dyDescent="0.35">
      <c r="A54" s="632"/>
      <c r="B54" s="633"/>
      <c r="C54" s="635"/>
      <c r="D54" s="636" t="s">
        <v>350</v>
      </c>
      <c r="E54" s="888" t="s">
        <v>351</v>
      </c>
      <c r="F54" s="888"/>
      <c r="G54" s="888"/>
      <c r="H54" s="630"/>
      <c r="I54" s="625" t="str">
        <f>IF(SUMIFS('LAMPIRAN II DONE'!$F$265:$F$527,'LAMPIRAN II DONE'!$I$265:$I$527,"pembimbing utama",'LAMPIRAN II DONE'!$J$265:$J$527,"Tesis")=0,"",SUMIFS('LAMPIRAN II DONE'!$F$265:$F$527,'LAMPIRAN II DONE'!$I$265:$I$527,"pembimbing utama",'LAMPIRAN II DONE'!$J$265:$J$527,"Tesis"))</f>
        <v/>
      </c>
      <c r="J54" s="603" t="str">
        <f>IF(I54=0,"",I54)</f>
        <v/>
      </c>
      <c r="K54" s="604"/>
      <c r="L54" s="604"/>
      <c r="M54" s="604"/>
    </row>
    <row r="55" spans="1:20" s="605" customFormat="1" ht="21" customHeight="1" x14ac:dyDescent="0.35">
      <c r="A55" s="632"/>
      <c r="B55" s="633"/>
      <c r="C55" s="635"/>
      <c r="D55" s="636" t="s">
        <v>352</v>
      </c>
      <c r="E55" s="888" t="s">
        <v>296</v>
      </c>
      <c r="F55" s="888"/>
      <c r="G55" s="888"/>
      <c r="H55" s="630"/>
      <c r="I55" s="625" t="str">
        <f>IF(SUMIFS('LAMPIRAN II DONE'!$K$265:$K$527,'LAMPIRAN II DONE'!$I$265:$I$527,"pembimbing utama",'LAMPIRAN II DONE'!$J$265:$J$527,"skripsi")=0,"",SUMIFS('LAMPIRAN II DONE'!$K$265:$K$527,'LAMPIRAN II DONE'!$I$265:$I$527,"pembimbing utama",'LAMPIRAN II DONE'!$J$265:$J$527,"Skripsi"))</f>
        <v/>
      </c>
      <c r="J55" s="603" t="str">
        <f>IF(I55=0,"",I55)</f>
        <v/>
      </c>
      <c r="K55" s="604"/>
      <c r="L55" s="604"/>
      <c r="M55" s="604"/>
    </row>
    <row r="56" spans="1:20" s="605" customFormat="1" ht="21" customHeight="1" x14ac:dyDescent="0.35">
      <c r="A56" s="637"/>
      <c r="B56" s="633"/>
      <c r="C56" s="638"/>
      <c r="D56" s="636" t="s">
        <v>353</v>
      </c>
      <c r="E56" s="888" t="s">
        <v>672</v>
      </c>
      <c r="F56" s="888"/>
      <c r="G56" s="888"/>
      <c r="H56" s="639"/>
      <c r="I56" s="774">
        <f>IF(SUMIFS('LAMPIRAN II DONE'!$F$265:$F$527,'LAMPIRAN II DONE'!$I$265:$I$527,"pembimbing utama",'LAMPIRAN II DONE'!$J$265:$J$527,"Laporan Akhir Studi")=0,"",SUMIFS('LAMPIRAN II DONE'!$F$265:$F$527,'LAMPIRAN II DONE'!$I$265:$I$527,"pembimbing utama",'LAMPIRAN II DONE'!$J$265:$J$527,"Laporan Akhir Studi"))</f>
        <v>9</v>
      </c>
      <c r="J56" s="603">
        <f>IF(I56=0,"",I56)</f>
        <v>9</v>
      </c>
      <c r="K56" s="640"/>
      <c r="L56" s="640"/>
      <c r="M56" s="640"/>
    </row>
    <row r="57" spans="1:20" s="605" customFormat="1" ht="21" customHeight="1" x14ac:dyDescent="0.35">
      <c r="A57" s="637"/>
      <c r="B57" s="633"/>
      <c r="C57" s="634">
        <v>2</v>
      </c>
      <c r="D57" s="888" t="s">
        <v>673</v>
      </c>
      <c r="E57" s="888"/>
      <c r="F57" s="888"/>
      <c r="G57" s="888"/>
      <c r="H57" s="641"/>
      <c r="I57" s="775"/>
      <c r="J57" s="642"/>
      <c r="K57" s="642"/>
      <c r="L57" s="642"/>
      <c r="M57" s="642"/>
    </row>
    <row r="58" spans="1:20" s="605" customFormat="1" ht="21" customHeight="1" x14ac:dyDescent="0.35">
      <c r="A58" s="637"/>
      <c r="B58" s="633"/>
      <c r="C58" s="633"/>
      <c r="D58" s="636" t="s">
        <v>348</v>
      </c>
      <c r="E58" s="888" t="s">
        <v>349</v>
      </c>
      <c r="F58" s="888"/>
      <c r="G58" s="888"/>
      <c r="H58" s="641"/>
      <c r="I58" s="774" t="str">
        <f>IF(SUMIFS('LAMPIRAN II DONE'!$F$265:$F$527,'LAMPIRAN II DONE'!$I$265:$I$527,"pembimbing pendamping",'LAMPIRAN II DONE'!$J$265:$J$527,"disertasi")=0,"",SUMIFS('LAMPIRAN II DONE'!$F$265:$F$527,'LAMPIRAN II DONE'!$I$265:$I$527,"pembimbing pendamping",'LAMPIRAN II DONE'!$J$265:$J$527,"disertasi"))</f>
        <v/>
      </c>
      <c r="J58" s="603" t="str">
        <f>IF(I58=0,"",I58)</f>
        <v/>
      </c>
      <c r="K58" s="642"/>
      <c r="L58" s="642"/>
      <c r="M58" s="642"/>
    </row>
    <row r="59" spans="1:20" s="605" customFormat="1" ht="21" customHeight="1" x14ac:dyDescent="0.35">
      <c r="A59" s="637"/>
      <c r="B59" s="633"/>
      <c r="C59" s="633"/>
      <c r="D59" s="636" t="s">
        <v>350</v>
      </c>
      <c r="E59" s="888" t="s">
        <v>351</v>
      </c>
      <c r="F59" s="888"/>
      <c r="G59" s="888"/>
      <c r="H59" s="588"/>
      <c r="I59" s="774" t="str">
        <f>IF(SUMIFS('LAMPIRAN II DONE'!$F$265:$F$527,'LAMPIRAN II DONE'!$I$265:$I$527,"pembimbing pendamping",'LAMPIRAN II DONE'!$J$265:$J$527,"Tesis")=0,"",SUMIFS('LAMPIRAN II DONE'!$F$265:$F$527,'LAMPIRAN II DONE'!$I$265:$I$527,"pembimbing pendamping",'LAMPIRAN II DONE'!$J$265:$J$527,"Tesis"))</f>
        <v/>
      </c>
      <c r="J59" s="603" t="str">
        <f>IF(I59=0,"",I59)</f>
        <v/>
      </c>
      <c r="K59" s="586"/>
      <c r="L59" s="586"/>
      <c r="M59" s="586"/>
    </row>
    <row r="60" spans="1:20" s="583" customFormat="1" ht="21" customHeight="1" x14ac:dyDescent="0.45">
      <c r="A60" s="599"/>
      <c r="B60" s="633"/>
      <c r="C60" s="633"/>
      <c r="D60" s="636" t="s">
        <v>352</v>
      </c>
      <c r="E60" s="888" t="s">
        <v>296</v>
      </c>
      <c r="F60" s="888"/>
      <c r="G60" s="888"/>
      <c r="H60" s="588"/>
      <c r="I60" s="774" t="str">
        <f>IF(SUMIFS('LAMPIRAN II DONE'!$F$265:$F$527,'LAMPIRAN II DONE'!$I$265:$I$527,"pembimbing pendamping",'LAMPIRAN II DONE'!$J$265:$J$527,"Skripsi")=0,"",SUMIFS('LAMPIRAN II DONE'!$F$265:$F$527,'LAMPIRAN II DONE'!$I$265:$I$527,"pembimbing pendamping",'LAMPIRAN II DONE'!$J$265:$J$527,"Skripsi"))</f>
        <v/>
      </c>
      <c r="J60" s="603" t="str">
        <f>IF(I60=0,"",I60)</f>
        <v/>
      </c>
      <c r="K60" s="586"/>
      <c r="L60" s="586"/>
      <c r="M60" s="586"/>
    </row>
    <row r="61" spans="1:20" s="605" customFormat="1" ht="21" customHeight="1" x14ac:dyDescent="0.35">
      <c r="A61" s="643"/>
      <c r="B61" s="631"/>
      <c r="C61" s="631"/>
      <c r="D61" s="631" t="s">
        <v>353</v>
      </c>
      <c r="E61" s="937" t="s">
        <v>672</v>
      </c>
      <c r="F61" s="938"/>
      <c r="G61" s="939"/>
      <c r="H61" s="644"/>
      <c r="I61" s="774">
        <f>IF(SUMIFS('LAMPIRAN II DONE'!$F$265:$F$527,'LAMPIRAN II DONE'!$I$265:$I$527,"pembimbing pendamping",'LAMPIRAN II DONE'!$J$265:$J$527,"Laporan Akhir Studi")=0,"",SUMIFS('LAMPIRAN II DONE'!$F$265:$F$527,'LAMPIRAN II DONE'!$I$265:$I$527,"pembimbing pendamping",'LAMPIRAN II DONE'!$J$265:$J$527,"Laporan Akhir Studi"))</f>
        <v>2</v>
      </c>
      <c r="J61" s="603">
        <f>IF(I61=0,"",I61)</f>
        <v>2</v>
      </c>
      <c r="K61" s="604"/>
      <c r="L61" s="604"/>
      <c r="M61" s="604"/>
    </row>
    <row r="62" spans="1:20" s="605" customFormat="1" ht="21" customHeight="1" x14ac:dyDescent="0.35">
      <c r="A62" s="632"/>
      <c r="B62" s="634" t="s">
        <v>120</v>
      </c>
      <c r="C62" s="919" t="s">
        <v>674</v>
      </c>
      <c r="D62" s="920"/>
      <c r="E62" s="920"/>
      <c r="F62" s="920"/>
      <c r="G62" s="912"/>
      <c r="H62" s="644"/>
      <c r="I62" s="613"/>
      <c r="J62" s="603"/>
      <c r="K62" s="604"/>
      <c r="L62" s="604"/>
      <c r="M62" s="604"/>
    </row>
    <row r="63" spans="1:20" s="605" customFormat="1" ht="21" customHeight="1" x14ac:dyDescent="0.35">
      <c r="A63" s="632"/>
      <c r="B63" s="633"/>
      <c r="C63" s="636">
        <v>1</v>
      </c>
      <c r="D63" s="919" t="s">
        <v>675</v>
      </c>
      <c r="E63" s="920"/>
      <c r="F63" s="920"/>
      <c r="G63" s="912"/>
      <c r="H63" s="644"/>
      <c r="I63" s="613">
        <f>IF('LAMPIRAN II DONE'!M795=0,"",'LAMPIRAN II DONE'!M795)</f>
        <v>8</v>
      </c>
      <c r="J63" s="603">
        <f>IF(I63=0,"",I63)</f>
        <v>8</v>
      </c>
      <c r="K63" s="604"/>
      <c r="L63" s="604"/>
      <c r="M63" s="604"/>
    </row>
    <row r="64" spans="1:20" s="605" customFormat="1" ht="21" customHeight="1" x14ac:dyDescent="0.35">
      <c r="A64" s="632"/>
      <c r="B64" s="631"/>
      <c r="C64" s="636">
        <v>2</v>
      </c>
      <c r="D64" s="919" t="s">
        <v>676</v>
      </c>
      <c r="E64" s="920"/>
      <c r="F64" s="920"/>
      <c r="G64" s="912"/>
      <c r="H64" s="644"/>
      <c r="I64" s="613">
        <f>IF('LAMPIRAN II DONE'!N795=0,"",'LAMPIRAN II DONE'!N795)</f>
        <v>1.5</v>
      </c>
      <c r="J64" s="603">
        <f>IF(I64=0,"",I64)</f>
        <v>1.5</v>
      </c>
      <c r="K64" s="604"/>
      <c r="L64" s="604"/>
      <c r="M64" s="604"/>
    </row>
    <row r="65" spans="1:16" s="605" customFormat="1" ht="21" customHeight="1" x14ac:dyDescent="0.35">
      <c r="A65" s="632"/>
      <c r="B65" s="634" t="s">
        <v>121</v>
      </c>
      <c r="C65" s="919" t="s">
        <v>677</v>
      </c>
      <c r="D65" s="920"/>
      <c r="E65" s="920"/>
      <c r="F65" s="920"/>
      <c r="G65" s="912"/>
      <c r="H65" s="644"/>
      <c r="I65" s="613"/>
      <c r="J65" s="603"/>
      <c r="K65" s="604"/>
      <c r="L65" s="604"/>
      <c r="M65" s="604"/>
    </row>
    <row r="66" spans="1:16" s="605" customFormat="1" ht="34.5" customHeight="1" x14ac:dyDescent="0.35">
      <c r="A66" s="632"/>
      <c r="B66" s="631"/>
      <c r="C66" s="645"/>
      <c r="D66" s="920" t="s">
        <v>678</v>
      </c>
      <c r="E66" s="920"/>
      <c r="F66" s="920"/>
      <c r="G66" s="912"/>
      <c r="H66" s="644"/>
      <c r="I66" s="613" t="str">
        <f>IF('LAMPIRAN II DONE'!$G$868=0,"",'LAMPIRAN II DONE'!$G$868)</f>
        <v/>
      </c>
      <c r="J66" s="603" t="str">
        <f>IF(I66=0,"",I66)</f>
        <v/>
      </c>
      <c r="K66" s="604"/>
      <c r="L66" s="604"/>
      <c r="M66" s="604"/>
    </row>
    <row r="67" spans="1:16" s="605" customFormat="1" ht="21" customHeight="1" x14ac:dyDescent="0.35">
      <c r="A67" s="632"/>
      <c r="B67" s="634" t="s">
        <v>122</v>
      </c>
      <c r="C67" s="919" t="s">
        <v>679</v>
      </c>
      <c r="D67" s="920"/>
      <c r="E67" s="920"/>
      <c r="F67" s="920"/>
      <c r="G67" s="912"/>
      <c r="H67" s="644"/>
      <c r="I67" s="613"/>
      <c r="J67" s="603"/>
      <c r="K67" s="604"/>
      <c r="L67" s="604"/>
      <c r="M67" s="604"/>
    </row>
    <row r="68" spans="1:16" s="605" customFormat="1" ht="21" customHeight="1" x14ac:dyDescent="0.35">
      <c r="A68" s="632"/>
      <c r="B68" s="631"/>
      <c r="C68" s="645"/>
      <c r="D68" s="920" t="s">
        <v>680</v>
      </c>
      <c r="E68" s="920"/>
      <c r="F68" s="920"/>
      <c r="G68" s="912"/>
      <c r="H68" s="644"/>
      <c r="I68" s="613" t="str">
        <f>IF('LAMPIRAN II DONE'!$G$942=0,"",'LAMPIRAN II DONE'!$G$942)</f>
        <v/>
      </c>
      <c r="J68" s="603" t="str">
        <f>IF(I68=0,"",I68)</f>
        <v/>
      </c>
      <c r="K68" s="604"/>
      <c r="L68" s="604"/>
      <c r="M68" s="604"/>
    </row>
    <row r="69" spans="1:16" s="605" customFormat="1" ht="21" customHeight="1" x14ac:dyDescent="0.35">
      <c r="A69" s="632"/>
      <c r="B69" s="634" t="s">
        <v>123</v>
      </c>
      <c r="C69" s="919" t="s">
        <v>681</v>
      </c>
      <c r="D69" s="920"/>
      <c r="E69" s="920"/>
      <c r="F69" s="920"/>
      <c r="G69" s="912"/>
      <c r="H69" s="644"/>
      <c r="I69" s="613"/>
      <c r="J69" s="603"/>
      <c r="K69" s="604"/>
      <c r="L69" s="604"/>
      <c r="M69" s="604"/>
    </row>
    <row r="70" spans="1:16" s="605" customFormat="1" ht="19.5" customHeight="1" x14ac:dyDescent="0.35">
      <c r="A70" s="632"/>
      <c r="B70" s="633"/>
      <c r="C70" s="636">
        <v>1</v>
      </c>
      <c r="D70" s="919" t="s">
        <v>682</v>
      </c>
      <c r="E70" s="920"/>
      <c r="F70" s="920"/>
      <c r="G70" s="912"/>
      <c r="H70" s="644"/>
      <c r="I70" s="613" t="str">
        <f>IF(SUMIFS('LAMPIRAN II DONE'!$F$945:$F$969,'LAMPIRAN II DONE'!$I$945:$I$969,"buku pertahun")=0,"",SUMIFS('LAMPIRAN II DONE'!$F$945:$F$969,'LAMPIRAN II DONE'!$I$945:$I$969,"buku pertahun"))</f>
        <v/>
      </c>
      <c r="J70" s="603" t="str">
        <f>IF(I70=0,"",I70)</f>
        <v/>
      </c>
      <c r="K70" s="604"/>
      <c r="L70" s="604"/>
      <c r="M70" s="604"/>
    </row>
    <row r="71" spans="1:16" s="605" customFormat="1" ht="30.75" customHeight="1" x14ac:dyDescent="0.35">
      <c r="A71" s="632"/>
      <c r="B71" s="631"/>
      <c r="C71" s="646">
        <v>2</v>
      </c>
      <c r="D71" s="916" t="s">
        <v>683</v>
      </c>
      <c r="E71" s="917"/>
      <c r="F71" s="917"/>
      <c r="G71" s="918"/>
      <c r="H71" s="644"/>
      <c r="I71" s="613" t="str">
        <f>IF(SUMIFS('LAMPIRAN II DONE'!$F$945:$F$969,'LAMPIRAN II DONE'!$I$945:$I$969,"Diktat/Modul Persemester")=0,"",SUMIFS('LAMPIRAN II DONE'!$F$945:$F$969,'LAMPIRAN II DONE'!$I$945:$I$969,"Diktat/Modul Persemester"))</f>
        <v/>
      </c>
      <c r="J71" s="603" t="str">
        <f>IF(I71=0,"",I71)</f>
        <v/>
      </c>
      <c r="K71" s="604"/>
      <c r="L71" s="604"/>
      <c r="M71" s="604"/>
    </row>
    <row r="72" spans="1:16" s="605" customFormat="1" ht="20.2" customHeight="1" x14ac:dyDescent="0.35">
      <c r="A72" s="632"/>
      <c r="B72" s="634" t="s">
        <v>2</v>
      </c>
      <c r="C72" s="919" t="s">
        <v>21</v>
      </c>
      <c r="D72" s="920"/>
      <c r="E72" s="920"/>
      <c r="F72" s="920"/>
      <c r="G72" s="912"/>
      <c r="H72" s="644"/>
      <c r="I72" s="613"/>
      <c r="J72" s="603"/>
      <c r="K72" s="604"/>
      <c r="L72" s="604"/>
      <c r="M72" s="604"/>
    </row>
    <row r="73" spans="1:16" s="605" customFormat="1" ht="22.5" customHeight="1" x14ac:dyDescent="0.35">
      <c r="A73" s="632"/>
      <c r="B73" s="631"/>
      <c r="C73" s="645"/>
      <c r="D73" s="920" t="s">
        <v>684</v>
      </c>
      <c r="E73" s="920"/>
      <c r="F73" s="920"/>
      <c r="G73" s="912"/>
      <c r="H73" s="644"/>
      <c r="I73" s="613" t="str">
        <f>IF('LAMPIRAN II DONE'!$G$1044=0,"",'LAMPIRAN II DONE'!$G$1044)</f>
        <v/>
      </c>
      <c r="J73" s="603" t="str">
        <f>IF(I73=0,"",I73)</f>
        <v/>
      </c>
      <c r="K73" s="604"/>
      <c r="L73" s="604"/>
      <c r="M73" s="604"/>
      <c r="P73" s="581"/>
    </row>
    <row r="74" spans="1:16" s="605" customFormat="1" ht="20.2" customHeight="1" x14ac:dyDescent="0.35">
      <c r="A74" s="632"/>
      <c r="B74" s="634" t="s">
        <v>125</v>
      </c>
      <c r="C74" s="919" t="s">
        <v>685</v>
      </c>
      <c r="D74" s="920"/>
      <c r="E74" s="920"/>
      <c r="F74" s="920"/>
      <c r="G74" s="912"/>
      <c r="H74" s="644"/>
      <c r="I74" s="613"/>
      <c r="J74" s="603"/>
      <c r="K74" s="604"/>
      <c r="L74" s="604"/>
      <c r="M74" s="604"/>
      <c r="P74" s="581"/>
    </row>
    <row r="75" spans="1:16" s="581" customFormat="1" ht="20.25" customHeight="1" x14ac:dyDescent="0.45">
      <c r="A75" s="647"/>
      <c r="B75" s="633"/>
      <c r="C75" s="636">
        <v>1</v>
      </c>
      <c r="D75" s="919" t="s">
        <v>366</v>
      </c>
      <c r="E75" s="920"/>
      <c r="F75" s="920"/>
      <c r="G75" s="912"/>
      <c r="H75" s="644"/>
      <c r="I75" s="613" t="str">
        <f>IF(SUMIFS('LAMPIRAN II DONE'!$F$1047:$F$1071,'LAMPIRAN II DONE'!$I$1047:$I$1071,"a.rektor")=0,"",SUMIFS('LAMPIRAN II DONE'!$F$1047:$F$1071,'LAMPIRAN II DONE'!$I$1047:$I$1071,"a.rektor"))</f>
        <v/>
      </c>
      <c r="J75" s="603" t="str">
        <f t="shared" ref="J75:J82" si="1">IF(I75=0,"",I75)</f>
        <v/>
      </c>
      <c r="K75" s="648"/>
      <c r="L75" s="648"/>
      <c r="M75" s="648"/>
    </row>
    <row r="76" spans="1:16" s="581" customFormat="1" ht="20.25" customHeight="1" x14ac:dyDescent="0.45">
      <c r="A76" s="647"/>
      <c r="B76" s="633"/>
      <c r="C76" s="636">
        <v>2</v>
      </c>
      <c r="D76" s="935" t="s">
        <v>686</v>
      </c>
      <c r="E76" s="936"/>
      <c r="F76" s="936"/>
      <c r="G76" s="899"/>
      <c r="H76" s="644"/>
      <c r="I76" s="613" t="str">
        <f>IF(SUMIFS('LAMPIRAN II DONE'!$F$1047:$F$1071,'LAMPIRAN II DONE'!$I$1047:$I$1071,"b.Pembantu rektor/dekan/direktur program pasca sarjana")=0,"",SUMIFS('LAMPIRAN II DONE'!$F$1047:$F$1071,'LAMPIRAN II DONE'!$I$1047:$I$1071,"b.Pembantu rektor/dekan/direktur program pasca sarjana"))</f>
        <v/>
      </c>
      <c r="J76" s="603" t="str">
        <f t="shared" si="1"/>
        <v/>
      </c>
      <c r="K76" s="648"/>
      <c r="L76" s="648"/>
      <c r="M76" s="648"/>
    </row>
    <row r="77" spans="1:16" s="581" customFormat="1" ht="30.75" customHeight="1" x14ac:dyDescent="0.45">
      <c r="A77" s="647"/>
      <c r="B77" s="633"/>
      <c r="C77" s="646">
        <v>3</v>
      </c>
      <c r="D77" s="916" t="s">
        <v>687</v>
      </c>
      <c r="E77" s="917"/>
      <c r="F77" s="917"/>
      <c r="G77" s="918"/>
      <c r="H77" s="644"/>
      <c r="I77" s="613" t="str">
        <f>IF(SUMIFS('LAMPIRAN II DONE'!$F$1047:$F$1071,'LAMPIRAN II DONE'!$I$1047:$I$1071,"c.Ketua sekolah tinggi/pembantu dekan/asisten direktur program pasca sarjana/direktur politeknik")=0,"",SUMIFS('LAMPIRAN II DONE'!$F$1047:$F$1071,'LAMPIRAN II DONE'!$I$1047:$I$1071,"c.Ketua sekolah tinggi/pembantu dekan/asisten direktur program pasca sarjana/direktur politeknik"))</f>
        <v/>
      </c>
      <c r="J77" s="603" t="str">
        <f t="shared" si="1"/>
        <v/>
      </c>
      <c r="K77" s="648"/>
      <c r="L77" s="648"/>
      <c r="M77" s="648"/>
    </row>
    <row r="78" spans="1:16" s="581" customFormat="1" ht="20.25" customHeight="1" x14ac:dyDescent="0.45">
      <c r="A78" s="647"/>
      <c r="B78" s="633"/>
      <c r="C78" s="636">
        <v>4</v>
      </c>
      <c r="D78" s="919" t="s">
        <v>688</v>
      </c>
      <c r="E78" s="920"/>
      <c r="F78" s="920"/>
      <c r="G78" s="912"/>
      <c r="H78" s="644"/>
      <c r="I78" s="613" t="str">
        <f>IF(SUMIFS('LAMPIRAN II DONE'!$F$1047:$F$1071,'LAMPIRAN II DONE'!$I$1047:$I$1071,"d.Pembantu ketua sekolah tinggi/pembantu direktur politeknik")=0,"",SUMIFS('LAMPIRAN II DONE'!$F$1047:$F$1071,'LAMPIRAN II DONE'!$I$1047:$I$1071,"d.Pembantu ketua sekolah tinggi/pembantu direktur politeknik"))</f>
        <v/>
      </c>
      <c r="J78" s="603" t="str">
        <f t="shared" si="1"/>
        <v/>
      </c>
      <c r="K78" s="648"/>
      <c r="L78" s="648"/>
      <c r="M78" s="648"/>
    </row>
    <row r="79" spans="1:16" s="581" customFormat="1" ht="20.25" customHeight="1" x14ac:dyDescent="0.45">
      <c r="A79" s="647"/>
      <c r="B79" s="633"/>
      <c r="C79" s="636">
        <v>5</v>
      </c>
      <c r="D79" s="919" t="s">
        <v>689</v>
      </c>
      <c r="E79" s="920"/>
      <c r="F79" s="920"/>
      <c r="G79" s="912"/>
      <c r="H79" s="644"/>
      <c r="I79" s="613" t="str">
        <f>IF(SUMIFS('LAMPIRAN II DONE'!$F$1047:$F$1071,'LAMPIRAN II DONE'!$I$1047:$I$1071,"e.Direktur akademi")=0,"",SUMIFS('LAMPIRAN II DONE'!$F$1047:$F$1071,'LAMPIRAN II DONE'!$I$1047:$I$1071,"e.Direktur akademi"))</f>
        <v/>
      </c>
      <c r="J79" s="603" t="str">
        <f t="shared" si="1"/>
        <v/>
      </c>
      <c r="K79" s="648"/>
      <c r="L79" s="648"/>
      <c r="M79" s="648"/>
    </row>
    <row r="80" spans="1:16" s="581" customFormat="1" ht="32.25" customHeight="1" x14ac:dyDescent="0.35">
      <c r="A80" s="647"/>
      <c r="B80" s="633"/>
      <c r="C80" s="646">
        <v>6</v>
      </c>
      <c r="D80" s="916" t="s">
        <v>690</v>
      </c>
      <c r="E80" s="917"/>
      <c r="F80" s="917"/>
      <c r="G80" s="918"/>
      <c r="H80" s="644"/>
      <c r="I80" s="613" t="str">
        <f>IF(SUMIFS('LAMPIRAN II DONE'!$F$1047:$F$1071,'LAMPIRAN II DONE'!$I$1047:$I$1071,"f.Pembantu direktur akademi/ketua jurusan/bagian pada universitas/institut/sekolah tinggi")=0,"",SUMIFS('LAMPIRAN II DONE'!$F$1047:$F$1071,'LAMPIRAN II DONE'!$I$1047:$I$1071,"f.Pembantu direktur akademi/ketua jurusan/bagian pada universitas/institut/sekolah tinggi"))</f>
        <v/>
      </c>
      <c r="J80" s="603" t="str">
        <f t="shared" si="1"/>
        <v/>
      </c>
      <c r="K80" s="648"/>
      <c r="L80" s="648"/>
      <c r="M80" s="648"/>
      <c r="P80" s="605"/>
    </row>
    <row r="81" spans="1:16" s="581" customFormat="1" ht="30.75" customHeight="1" x14ac:dyDescent="0.35">
      <c r="A81" s="647"/>
      <c r="B81" s="633"/>
      <c r="C81" s="646">
        <v>7</v>
      </c>
      <c r="D81" s="916" t="s">
        <v>691</v>
      </c>
      <c r="E81" s="917"/>
      <c r="F81" s="917"/>
      <c r="G81" s="918"/>
      <c r="H81" s="644"/>
      <c r="I81" s="613" t="str">
        <f>IF(SUMIFS('LAMPIRAN II DONE'!$F$1047:$F$1071,'LAMPIRAN II DONE'!$I$1047:$I$1071,"g.Ketua jurusan pada politeknik/akademi/sekretaris jurusan/bagian pada universitas/institu/sekolah tinggi")=0,"",SUMIFS('LAMPIRAN II DONE'!$F$1047:$F$1071,'LAMPIRAN II DONE'!$I$1047:$I$1071,"g.Ketua jurusan pada politeknik/akademi/sekretaris jurusan/bagian pada universitas/institu/sekolah tinggi"))</f>
        <v/>
      </c>
      <c r="J81" s="603" t="str">
        <f t="shared" si="1"/>
        <v/>
      </c>
      <c r="K81" s="648"/>
      <c r="L81" s="648"/>
      <c r="M81" s="648"/>
      <c r="P81" s="654"/>
    </row>
    <row r="82" spans="1:16" s="605" customFormat="1" ht="47.25" customHeight="1" x14ac:dyDescent="0.35">
      <c r="A82" s="632"/>
      <c r="B82" s="631"/>
      <c r="C82" s="646">
        <v>8</v>
      </c>
      <c r="D82" s="921" t="s">
        <v>692</v>
      </c>
      <c r="E82" s="922"/>
      <c r="F82" s="922"/>
      <c r="G82" s="923"/>
      <c r="H82" s="644"/>
      <c r="I82" s="613" t="str">
        <f>IF(SUMIFS('LAMPIRAN II DONE'!$F$1047:$F$1071,'LAMPIRAN II DONE'!$I$1047:$I$1071,"h.Sekretaris jurusan pada politeknik/akademi dan kepala laboratorium universitas/institut/sekolah tinggi/politeknik/akademi")=0,"",SUMIFS('LAMPIRAN II DONE'!$F$1047:$F$1071,'LAMPIRAN II DONE'!$I$1047:$I$1071,"h.Sekretaris jurusan pada politeknik/akademi dan kepala laboratorium universitas/institut/sekolah tinggi/politeknik/akademi"))</f>
        <v/>
      </c>
      <c r="J82" s="603" t="str">
        <f t="shared" si="1"/>
        <v/>
      </c>
      <c r="K82" s="604"/>
      <c r="L82" s="604"/>
      <c r="M82" s="604"/>
    </row>
    <row r="83" spans="1:16" s="654" customFormat="1" ht="22.5" customHeight="1" x14ac:dyDescent="0.35">
      <c r="A83" s="649"/>
      <c r="B83" s="634" t="s">
        <v>124</v>
      </c>
      <c r="C83" s="919" t="s">
        <v>693</v>
      </c>
      <c r="D83" s="920"/>
      <c r="E83" s="920"/>
      <c r="F83" s="920"/>
      <c r="G83" s="912"/>
      <c r="H83" s="650"/>
      <c r="I83" s="651"/>
      <c r="J83" s="652"/>
      <c r="K83" s="653"/>
      <c r="L83" s="653"/>
      <c r="M83" s="653"/>
    </row>
    <row r="84" spans="1:16" s="605" customFormat="1" ht="20.2" customHeight="1" x14ac:dyDescent="0.35">
      <c r="A84" s="632"/>
      <c r="B84" s="633"/>
      <c r="C84" s="636">
        <v>1</v>
      </c>
      <c r="D84" s="919" t="s">
        <v>694</v>
      </c>
      <c r="E84" s="920"/>
      <c r="F84" s="920"/>
      <c r="G84" s="912"/>
      <c r="H84" s="644"/>
      <c r="I84" s="613" t="str">
        <f>IF(SUMIFS('LAMPIRAN II DONE'!$F$1075:$F$1099,'LAMPIRAN II DONE'!$I$1075:$I$1099,"a.Pembimbing pencangkokan persemester")=0,"",SUMIFS('LAMPIRAN II DONE'!$F$1075:$F$1099,'LAMPIRAN II DONE'!$I$1075:$I$1099,"a.Pembimbing pencangkokan persemester"))</f>
        <v/>
      </c>
      <c r="J84" s="603" t="str">
        <f>IF(I84=0,"",I84)</f>
        <v/>
      </c>
      <c r="K84" s="604"/>
      <c r="L84" s="604"/>
      <c r="M84" s="604"/>
    </row>
    <row r="85" spans="1:16" s="605" customFormat="1" ht="20.2" customHeight="1" x14ac:dyDescent="0.35">
      <c r="A85" s="655"/>
      <c r="B85" s="631"/>
      <c r="C85" s="636">
        <v>2</v>
      </c>
      <c r="D85" s="919" t="s">
        <v>376</v>
      </c>
      <c r="E85" s="920"/>
      <c r="F85" s="920"/>
      <c r="G85" s="912"/>
      <c r="H85" s="644"/>
      <c r="I85" s="613" t="str">
        <f>IF(SUMIFS('LAMPIRAN II DONE'!$F$1075:$F$1099,'LAMPIRAN II DONE'!$I$1075:$I$1099,"b.reguler persemester")=0,"",SUMIFS('LAMPIRAN II DONE'!$F$1075:$F$1099,'LAMPIRAN II DONE'!$I$1075:$I$1099,"b.reguler persemester"))</f>
        <v/>
      </c>
      <c r="J85" s="603" t="str">
        <f>IF(I85=0,"",I85)</f>
        <v/>
      </c>
      <c r="K85" s="604"/>
      <c r="L85" s="604"/>
      <c r="M85" s="604"/>
    </row>
    <row r="86" spans="1:16" s="605" customFormat="1" ht="31.5" customHeight="1" x14ac:dyDescent="0.35">
      <c r="A86" s="655"/>
      <c r="B86" s="616" t="s">
        <v>126</v>
      </c>
      <c r="C86" s="916" t="s">
        <v>695</v>
      </c>
      <c r="D86" s="917"/>
      <c r="E86" s="917"/>
      <c r="F86" s="917"/>
      <c r="G86" s="918"/>
      <c r="H86" s="656"/>
      <c r="I86" s="657"/>
      <c r="J86" s="600"/>
      <c r="K86" s="658"/>
      <c r="L86" s="658"/>
      <c r="M86" s="658"/>
    </row>
    <row r="87" spans="1:16" s="605" customFormat="1" ht="21" customHeight="1" x14ac:dyDescent="0.35">
      <c r="A87" s="655"/>
      <c r="B87" s="631"/>
      <c r="C87" s="636">
        <v>1</v>
      </c>
      <c r="D87" s="919" t="s">
        <v>378</v>
      </c>
      <c r="E87" s="920"/>
      <c r="F87" s="920"/>
      <c r="G87" s="912"/>
      <c r="H87" s="659"/>
      <c r="I87" s="613" t="str">
        <f>IF(SUMIFS('LAMPIRAN II DONE'!$F$1103:$F$1127,'LAMPIRAN II DONE'!$I$1103:$I$1127,"a.Detasering persemester")=0,"",SUMIFS('LAMPIRAN II DONE'!$F$1103:$F$1127,'LAMPIRAN II DONE'!$I$1103:$I$1127,"a.Detasering persemester"))</f>
        <v/>
      </c>
      <c r="J87" s="603" t="str">
        <f>IF(I87=0,"",I87)</f>
        <v/>
      </c>
      <c r="K87" s="604"/>
      <c r="L87" s="604"/>
      <c r="M87" s="604"/>
    </row>
    <row r="88" spans="1:16" s="605" customFormat="1" ht="21" customHeight="1" x14ac:dyDescent="0.35">
      <c r="A88" s="660"/>
      <c r="B88" s="631"/>
      <c r="C88" s="636">
        <v>2</v>
      </c>
      <c r="D88" s="919" t="s">
        <v>379</v>
      </c>
      <c r="E88" s="920"/>
      <c r="F88" s="920"/>
      <c r="G88" s="912"/>
      <c r="H88" s="659"/>
      <c r="I88" s="613" t="str">
        <f>IF(SUMIFS('LAMPIRAN II DONE'!$F$1103:$F$1127,'LAMPIRAN II DONE'!$I$1103:$I$1127,"b.Pencangkokan persemester")=0,"",SUMIFS('LAMPIRAN II DONE'!$F$1103:$F$1127,'LAMPIRAN II DONE'!$I$1103:$I$1127,"b.Pencangkokan persemester"))</f>
        <v/>
      </c>
      <c r="J88" s="603" t="str">
        <f>IF(I88=0,"",I88)</f>
        <v/>
      </c>
      <c r="K88" s="604"/>
      <c r="L88" s="604"/>
      <c r="M88" s="604"/>
    </row>
    <row r="89" spans="1:16" s="605" customFormat="1" ht="21" customHeight="1" x14ac:dyDescent="0.35">
      <c r="A89" s="943" t="s">
        <v>42</v>
      </c>
      <c r="B89" s="910" t="s">
        <v>332</v>
      </c>
      <c r="C89" s="910"/>
      <c r="D89" s="910"/>
      <c r="E89" s="910"/>
      <c r="F89" s="910"/>
      <c r="G89" s="910"/>
      <c r="H89" s="910"/>
      <c r="I89" s="910"/>
      <c r="J89" s="910"/>
      <c r="K89" s="910"/>
      <c r="L89" s="910"/>
      <c r="M89" s="910"/>
    </row>
    <row r="90" spans="1:16" s="605" customFormat="1" ht="21" customHeight="1" x14ac:dyDescent="0.35">
      <c r="A90" s="944"/>
      <c r="B90" s="908" t="s">
        <v>333</v>
      </c>
      <c r="C90" s="908"/>
      <c r="D90" s="908"/>
      <c r="E90" s="908"/>
      <c r="F90" s="908"/>
      <c r="G90" s="908"/>
      <c r="H90" s="911" t="s">
        <v>11</v>
      </c>
      <c r="I90" s="911"/>
      <c r="J90" s="911"/>
      <c r="K90" s="911"/>
      <c r="L90" s="911"/>
      <c r="M90" s="911"/>
    </row>
    <row r="91" spans="1:16" s="605" customFormat="1" ht="21" customHeight="1" x14ac:dyDescent="0.35">
      <c r="A91" s="944"/>
      <c r="B91" s="908"/>
      <c r="C91" s="908"/>
      <c r="D91" s="908"/>
      <c r="E91" s="908"/>
      <c r="F91" s="908"/>
      <c r="G91" s="908"/>
      <c r="H91" s="911" t="s">
        <v>334</v>
      </c>
      <c r="I91" s="911"/>
      <c r="J91" s="911"/>
      <c r="K91" s="911" t="s">
        <v>12</v>
      </c>
      <c r="L91" s="911"/>
      <c r="M91" s="911"/>
    </row>
    <row r="92" spans="1:16" s="605" customFormat="1" ht="21" customHeight="1" x14ac:dyDescent="0.35">
      <c r="A92" s="945"/>
      <c r="B92" s="909"/>
      <c r="C92" s="909"/>
      <c r="D92" s="909"/>
      <c r="E92" s="909"/>
      <c r="F92" s="909"/>
      <c r="G92" s="909"/>
      <c r="H92" s="592" t="s">
        <v>14</v>
      </c>
      <c r="I92" s="592" t="s">
        <v>13</v>
      </c>
      <c r="J92" s="592" t="s">
        <v>16</v>
      </c>
      <c r="K92" s="592" t="s">
        <v>14</v>
      </c>
      <c r="L92" s="592" t="s">
        <v>13</v>
      </c>
      <c r="M92" s="592" t="s">
        <v>16</v>
      </c>
    </row>
    <row r="93" spans="1:16" s="605" customFormat="1" ht="21" customHeight="1" x14ac:dyDescent="0.35">
      <c r="A93" s="586">
        <v>1</v>
      </c>
      <c r="B93" s="930">
        <v>2</v>
      </c>
      <c r="C93" s="931"/>
      <c r="D93" s="931"/>
      <c r="E93" s="931"/>
      <c r="F93" s="931"/>
      <c r="G93" s="932"/>
      <c r="H93" s="592">
        <v>3</v>
      </c>
      <c r="I93" s="592">
        <v>4</v>
      </c>
      <c r="J93" s="592">
        <v>5</v>
      </c>
      <c r="K93" s="592">
        <v>6</v>
      </c>
      <c r="L93" s="592">
        <v>7</v>
      </c>
      <c r="M93" s="592">
        <v>8</v>
      </c>
    </row>
    <row r="94" spans="1:16" s="605" customFormat="1" ht="31.5" customHeight="1" x14ac:dyDescent="0.35">
      <c r="A94" s="655"/>
      <c r="B94" s="661" t="s">
        <v>129</v>
      </c>
      <c r="C94" s="916" t="s">
        <v>696</v>
      </c>
      <c r="D94" s="917"/>
      <c r="E94" s="917"/>
      <c r="F94" s="917"/>
      <c r="G94" s="918"/>
      <c r="H94" s="662"/>
      <c r="I94" s="663"/>
      <c r="J94" s="664"/>
      <c r="K94" s="665"/>
      <c r="L94" s="665"/>
      <c r="M94" s="665"/>
    </row>
    <row r="95" spans="1:16" s="605" customFormat="1" ht="21" customHeight="1" x14ac:dyDescent="0.35">
      <c r="A95" s="655"/>
      <c r="B95" s="647"/>
      <c r="C95" s="666" t="s">
        <v>312</v>
      </c>
      <c r="D95" s="940" t="s">
        <v>697</v>
      </c>
      <c r="E95" s="941"/>
      <c r="F95" s="941"/>
      <c r="G95" s="942"/>
      <c r="H95" s="662"/>
      <c r="I95" s="783">
        <f>SUMIFS('LAMPIRAN II DONE'!$F$1131:$F$1155,'LAMPIRAN II DONE'!$I$1131:$I$1155,"Lamanya &gt; 960 jam")</f>
        <v>0</v>
      </c>
      <c r="J95" s="784" t="str">
        <f t="shared" ref="J95:J101" si="2">IF(I95=0,"",I95)</f>
        <v/>
      </c>
      <c r="K95" s="665"/>
      <c r="L95" s="665"/>
      <c r="M95" s="665"/>
    </row>
    <row r="96" spans="1:16" s="605" customFormat="1" ht="20.2" customHeight="1" x14ac:dyDescent="0.35">
      <c r="A96" s="655"/>
      <c r="B96" s="667"/>
      <c r="C96" s="666" t="s">
        <v>314</v>
      </c>
      <c r="D96" s="940" t="s">
        <v>698</v>
      </c>
      <c r="E96" s="941"/>
      <c r="F96" s="941"/>
      <c r="G96" s="942"/>
      <c r="H96" s="662"/>
      <c r="I96" s="783">
        <f>SUMIFS('LAMPIRAN II DONE'!$F$1131:$F$1155,'LAMPIRAN II DONE'!$I$1131:$I$1155,"Lamanya 641-960 jam")</f>
        <v>0</v>
      </c>
      <c r="J96" s="784" t="str">
        <f t="shared" si="2"/>
        <v/>
      </c>
      <c r="K96" s="665"/>
      <c r="L96" s="665"/>
      <c r="M96" s="665"/>
    </row>
    <row r="97" spans="1:18" s="605" customFormat="1" ht="20.2" customHeight="1" x14ac:dyDescent="0.35">
      <c r="A97" s="632"/>
      <c r="B97" s="601"/>
      <c r="C97" s="666" t="s">
        <v>316</v>
      </c>
      <c r="D97" s="940" t="s">
        <v>699</v>
      </c>
      <c r="E97" s="941"/>
      <c r="F97" s="941"/>
      <c r="G97" s="942"/>
      <c r="H97" s="644"/>
      <c r="I97" s="783">
        <f>SUMIFS('LAMPIRAN II DONE'!$F$1131:$F$1155,'LAMPIRAN II DONE'!$I$1131:$I$1155,"Lamanya 481-640 jam")</f>
        <v>0</v>
      </c>
      <c r="J97" s="784" t="str">
        <f t="shared" si="2"/>
        <v/>
      </c>
      <c r="K97" s="604"/>
      <c r="L97" s="604"/>
      <c r="M97" s="604"/>
    </row>
    <row r="98" spans="1:18" s="605" customFormat="1" ht="20.2" customHeight="1" x14ac:dyDescent="0.35">
      <c r="A98" s="632"/>
      <c r="B98" s="647"/>
      <c r="C98" s="668" t="s">
        <v>318</v>
      </c>
      <c r="D98" s="940" t="s">
        <v>700</v>
      </c>
      <c r="E98" s="941"/>
      <c r="F98" s="941"/>
      <c r="G98" s="942"/>
      <c r="H98" s="644"/>
      <c r="I98" s="783">
        <f>SUMIFS('LAMPIRAN II DONE'!$F$1131:$F$1155,'LAMPIRAN II DONE'!$I$1131:$I$1155,"Lamanya 161-480 jam")</f>
        <v>0</v>
      </c>
      <c r="J98" s="784" t="str">
        <f t="shared" si="2"/>
        <v/>
      </c>
      <c r="K98" s="604"/>
      <c r="L98" s="604"/>
      <c r="M98" s="604"/>
    </row>
    <row r="99" spans="1:18" s="605" customFormat="1" ht="20.2" customHeight="1" x14ac:dyDescent="0.35">
      <c r="A99" s="632"/>
      <c r="B99" s="647"/>
      <c r="C99" s="668" t="s">
        <v>320</v>
      </c>
      <c r="D99" s="940" t="s">
        <v>701</v>
      </c>
      <c r="E99" s="941"/>
      <c r="F99" s="941"/>
      <c r="G99" s="942"/>
      <c r="H99" s="644"/>
      <c r="I99" s="783">
        <f>SUMIFS('LAMPIRAN II DONE'!$F$1131:$F$1155,'LAMPIRAN II DONE'!$I$1131:$I$1155,"Lamanya 81-160 jam")</f>
        <v>0</v>
      </c>
      <c r="J99" s="784" t="str">
        <f t="shared" si="2"/>
        <v/>
      </c>
      <c r="K99" s="604"/>
      <c r="L99" s="604"/>
      <c r="M99" s="604"/>
    </row>
    <row r="100" spans="1:18" s="605" customFormat="1" ht="20.2" customHeight="1" x14ac:dyDescent="0.35">
      <c r="A100" s="655"/>
      <c r="B100" s="601"/>
      <c r="C100" s="668" t="s">
        <v>322</v>
      </c>
      <c r="D100" s="940" t="s">
        <v>702</v>
      </c>
      <c r="E100" s="941"/>
      <c r="F100" s="941"/>
      <c r="G100" s="942"/>
      <c r="H100" s="644"/>
      <c r="I100" s="783">
        <f>SUMIFS('LAMPIRAN II DONE'!$F$1131:$F$1155,'LAMPIRAN II DONE'!$I$1131:$I$1155,"Lamanya 31-80 jam")</f>
        <v>1</v>
      </c>
      <c r="J100" s="784">
        <f t="shared" si="2"/>
        <v>1</v>
      </c>
      <c r="K100" s="604"/>
      <c r="L100" s="604"/>
      <c r="M100" s="604"/>
      <c r="R100" s="605" t="s">
        <v>793</v>
      </c>
    </row>
    <row r="101" spans="1:18" s="605" customFormat="1" ht="20.2" customHeight="1" x14ac:dyDescent="0.35">
      <c r="A101" s="632"/>
      <c r="B101" s="669"/>
      <c r="C101" s="668" t="s">
        <v>324</v>
      </c>
      <c r="D101" s="940" t="s">
        <v>703</v>
      </c>
      <c r="E101" s="941"/>
      <c r="F101" s="941"/>
      <c r="G101" s="942"/>
      <c r="H101" s="644"/>
      <c r="I101" s="783">
        <f>SUMIFS('LAMPIRAN II DONE'!$F$1131:$F$1155,'LAMPIRAN II DONE'!$I$1131:$I$1155,"Lamanya 10-30 jam")</f>
        <v>1</v>
      </c>
      <c r="J101" s="784">
        <f t="shared" si="2"/>
        <v>1</v>
      </c>
      <c r="K101" s="604"/>
      <c r="L101" s="604"/>
      <c r="M101" s="604"/>
    </row>
    <row r="102" spans="1:18" s="605" customFormat="1" ht="20.2" customHeight="1" x14ac:dyDescent="0.35">
      <c r="A102" s="670" t="s">
        <v>32</v>
      </c>
      <c r="B102" s="913" t="s">
        <v>387</v>
      </c>
      <c r="C102" s="914"/>
      <c r="D102" s="914"/>
      <c r="E102" s="914"/>
      <c r="F102" s="914"/>
      <c r="G102" s="915"/>
      <c r="H102" s="644"/>
      <c r="I102" s="782"/>
      <c r="J102" s="784"/>
      <c r="K102" s="604"/>
      <c r="L102" s="604"/>
      <c r="M102" s="604"/>
    </row>
    <row r="103" spans="1:18" s="605" customFormat="1" ht="20.2" customHeight="1" x14ac:dyDescent="0.45">
      <c r="A103" s="632"/>
      <c r="B103" s="671" t="s">
        <v>15</v>
      </c>
      <c r="C103" s="919" t="s">
        <v>704</v>
      </c>
      <c r="D103" s="920"/>
      <c r="E103" s="920"/>
      <c r="F103" s="920"/>
      <c r="G103" s="912"/>
      <c r="H103" s="672"/>
      <c r="I103" s="782"/>
      <c r="J103" s="784"/>
      <c r="K103" s="604"/>
      <c r="L103" s="604"/>
      <c r="M103" s="604"/>
      <c r="O103" s="74"/>
    </row>
    <row r="104" spans="1:18" s="581" customFormat="1" ht="19.5" customHeight="1" x14ac:dyDescent="0.45">
      <c r="A104" s="647"/>
      <c r="B104" s="673"/>
      <c r="C104" s="674">
        <v>1</v>
      </c>
      <c r="D104" s="919" t="s">
        <v>705</v>
      </c>
      <c r="E104" s="920"/>
      <c r="F104" s="920"/>
      <c r="G104" s="912"/>
      <c r="H104" s="672"/>
      <c r="I104" s="782"/>
      <c r="J104" s="784"/>
      <c r="K104" s="648"/>
      <c r="L104" s="648"/>
      <c r="M104" s="648"/>
      <c r="O104" s="74"/>
    </row>
    <row r="105" spans="1:18" s="605" customFormat="1" ht="21" customHeight="1" x14ac:dyDescent="0.45">
      <c r="A105" s="632"/>
      <c r="B105" s="673"/>
      <c r="C105" s="635"/>
      <c r="D105" s="671" t="s">
        <v>348</v>
      </c>
      <c r="E105" s="886" t="s">
        <v>706</v>
      </c>
      <c r="F105" s="886"/>
      <c r="G105" s="886"/>
      <c r="H105" s="627"/>
      <c r="I105" s="782"/>
      <c r="J105" s="784"/>
      <c r="K105" s="604"/>
      <c r="L105" s="604"/>
      <c r="M105" s="604"/>
      <c r="O105" s="74"/>
    </row>
    <row r="106" spans="1:18" s="605" customFormat="1" ht="21" customHeight="1" x14ac:dyDescent="0.45">
      <c r="A106" s="632"/>
      <c r="B106" s="633"/>
      <c r="C106" s="635"/>
      <c r="D106" s="673"/>
      <c r="E106" s="675" t="s">
        <v>391</v>
      </c>
      <c r="F106" s="888" t="s">
        <v>392</v>
      </c>
      <c r="G106" s="888"/>
      <c r="H106" s="627"/>
      <c r="I106" s="782">
        <f>SUMIFS('LAMPIRAN III DONE'!$G$144:$G$153,'LAMPIRAN III DONE'!$K$144:$K$153,"1.a).2). Hasil penelitian atau hasil pemikiran yang DIPUBLIKASIKAN dalam bentuk BUKU MONOGRAF")</f>
        <v>0</v>
      </c>
      <c r="J106" s="784" t="str">
        <f t="shared" ref="J106:J108" si="3">IF(I106=0,"",I106)</f>
        <v/>
      </c>
      <c r="K106" s="604"/>
      <c r="L106" s="604"/>
      <c r="M106" s="604"/>
      <c r="O106" s="74" t="s">
        <v>507</v>
      </c>
    </row>
    <row r="107" spans="1:18" s="605" customFormat="1" ht="21" customHeight="1" x14ac:dyDescent="0.45">
      <c r="A107" s="632"/>
      <c r="B107" s="633"/>
      <c r="C107" s="635"/>
      <c r="D107" s="673"/>
      <c r="E107" s="675" t="s">
        <v>393</v>
      </c>
      <c r="F107" s="888" t="s">
        <v>707</v>
      </c>
      <c r="G107" s="888"/>
      <c r="H107" s="627"/>
      <c r="I107" s="782">
        <f>SUMIFS('LAMPIRAN III DONE'!$G$144:$G$153,'LAMPIRAN III DONE'!$K$144:$K$153,"1.a).1). Hasil penelitian atau hasil pemikiran yang DIPUBLIKASIKAN dalam bentuk BUKU REFERENSI")</f>
        <v>0</v>
      </c>
      <c r="J107" s="784" t="str">
        <f t="shared" si="3"/>
        <v/>
      </c>
      <c r="K107" s="604"/>
      <c r="L107" s="604"/>
      <c r="M107" s="604"/>
      <c r="O107" s="74" t="s">
        <v>508</v>
      </c>
    </row>
    <row r="108" spans="1:18" s="605" customFormat="1" ht="21" customHeight="1" x14ac:dyDescent="0.45">
      <c r="A108" s="632"/>
      <c r="B108" s="633"/>
      <c r="C108" s="635"/>
      <c r="D108" s="676"/>
      <c r="E108" s="675" t="s">
        <v>399</v>
      </c>
      <c r="F108" s="888" t="s">
        <v>708</v>
      </c>
      <c r="G108" s="888"/>
      <c r="H108" s="627"/>
      <c r="I108" s="782">
        <f>SUMIFS('LAMPIRAN III DONE'!$G$144:$G$153,'LAMPIRAN III DONE'!$K$144:$K$153,"1.b).1). Hasil penelitian atau hasil pemikiran dalam buku yang DIPUBLIKASIKAN dan berisi berbagai tulisan dari berbagai PENULIS INTERNASIONAL")</f>
        <v>0</v>
      </c>
      <c r="J108" s="784" t="str">
        <f t="shared" si="3"/>
        <v/>
      </c>
      <c r="K108" s="604"/>
      <c r="L108" s="604"/>
      <c r="M108" s="604"/>
      <c r="O108" s="74" t="s">
        <v>509</v>
      </c>
    </row>
    <row r="109" spans="1:18" s="605" customFormat="1" ht="21" customHeight="1" x14ac:dyDescent="0.45">
      <c r="A109" s="632"/>
      <c r="B109" s="633"/>
      <c r="C109" s="635"/>
      <c r="D109" s="671" t="s">
        <v>395</v>
      </c>
      <c r="E109" s="888" t="s">
        <v>709</v>
      </c>
      <c r="F109" s="888"/>
      <c r="G109" s="888"/>
      <c r="H109" s="627"/>
      <c r="I109" s="782"/>
      <c r="J109" s="784"/>
      <c r="K109" s="604"/>
      <c r="L109" s="604"/>
      <c r="M109" s="604"/>
      <c r="O109" s="74" t="s">
        <v>510</v>
      </c>
    </row>
    <row r="110" spans="1:18" s="605" customFormat="1" ht="21" customHeight="1" x14ac:dyDescent="0.45">
      <c r="A110" s="632"/>
      <c r="B110" s="633"/>
      <c r="C110" s="677"/>
      <c r="D110" s="633"/>
      <c r="E110" s="675" t="s">
        <v>391</v>
      </c>
      <c r="F110" s="888" t="s">
        <v>397</v>
      </c>
      <c r="G110" s="888"/>
      <c r="H110" s="627"/>
      <c r="I110" s="782">
        <f>SUM('LAMPIRAN III DONE'!$G$29:$G$48)</f>
        <v>0</v>
      </c>
      <c r="J110" s="784" t="str">
        <f t="shared" ref="J110:J112" si="4">IF(I110=0,"",I110)</f>
        <v/>
      </c>
      <c r="K110" s="604"/>
      <c r="L110" s="604"/>
      <c r="M110" s="604"/>
      <c r="O110" s="74"/>
    </row>
    <row r="111" spans="1:18" s="605" customFormat="1" ht="21" customHeight="1" x14ac:dyDescent="0.45">
      <c r="A111" s="632"/>
      <c r="B111" s="633"/>
      <c r="C111" s="677"/>
      <c r="D111" s="633"/>
      <c r="E111" s="675" t="s">
        <v>393</v>
      </c>
      <c r="F111" s="888" t="s">
        <v>710</v>
      </c>
      <c r="G111" s="888"/>
      <c r="H111" s="627"/>
      <c r="I111" s="782">
        <f>SUMIFS('LAMPIRAN III DONE'!$G$50:$G$69,'LAMPIRAN III DONE'!$K$50:$K$69,"1.c).4). Hasil penelitian atau hasil pemikiran yang DIPUBLIKASIKAN dalam bentuk JURNAL NASIONAL TERAKREDITASI")</f>
        <v>0</v>
      </c>
      <c r="J111" s="784" t="str">
        <f t="shared" si="4"/>
        <v/>
      </c>
      <c r="K111" s="604"/>
      <c r="L111" s="604"/>
      <c r="M111" s="604"/>
      <c r="O111" s="74" t="s">
        <v>512</v>
      </c>
    </row>
    <row r="112" spans="1:18" s="605" customFormat="1" ht="21" customHeight="1" x14ac:dyDescent="0.45">
      <c r="A112" s="632"/>
      <c r="B112" s="633"/>
      <c r="C112" s="677"/>
      <c r="D112" s="631"/>
      <c r="E112" s="675" t="s">
        <v>399</v>
      </c>
      <c r="F112" s="888" t="s">
        <v>711</v>
      </c>
      <c r="G112" s="888"/>
      <c r="H112" s="627"/>
      <c r="I112" s="782">
        <f>SUMIFS('LAMPIRAN III DONE'!$G$50:$G$69,'LAMPIRAN III DONE'!$Q$50:$Q$69,"tidak terakreditasi")</f>
        <v>0</v>
      </c>
      <c r="J112" s="784" t="str">
        <f t="shared" si="4"/>
        <v/>
      </c>
      <c r="K112" s="604"/>
      <c r="L112" s="604"/>
      <c r="M112" s="604"/>
      <c r="O112" s="74" t="s">
        <v>513</v>
      </c>
    </row>
    <row r="113" spans="1:15" s="605" customFormat="1" ht="21" customHeight="1" x14ac:dyDescent="0.45">
      <c r="A113" s="637"/>
      <c r="B113" s="633"/>
      <c r="C113" s="677"/>
      <c r="D113" s="671" t="s">
        <v>352</v>
      </c>
      <c r="E113" s="888" t="s">
        <v>401</v>
      </c>
      <c r="F113" s="888"/>
      <c r="G113" s="888"/>
      <c r="H113" s="627"/>
      <c r="I113" s="785"/>
      <c r="J113" s="785"/>
      <c r="K113" s="640"/>
      <c r="L113" s="640"/>
      <c r="M113" s="640"/>
      <c r="O113" s="74" t="s">
        <v>514</v>
      </c>
    </row>
    <row r="114" spans="1:15" s="605" customFormat="1" ht="21" customHeight="1" x14ac:dyDescent="0.45">
      <c r="A114" s="637"/>
      <c r="B114" s="633"/>
      <c r="C114" s="677"/>
      <c r="D114" s="633"/>
      <c r="E114" s="671" t="s">
        <v>391</v>
      </c>
      <c r="F114" s="888" t="s">
        <v>712</v>
      </c>
      <c r="G114" s="888"/>
      <c r="H114" s="627"/>
      <c r="I114" s="786"/>
      <c r="J114" s="786"/>
      <c r="K114" s="642"/>
      <c r="L114" s="642"/>
      <c r="M114" s="642"/>
      <c r="O114" s="74" t="s">
        <v>515</v>
      </c>
    </row>
    <row r="115" spans="1:15" s="605" customFormat="1" ht="21" customHeight="1" x14ac:dyDescent="0.45">
      <c r="A115" s="637"/>
      <c r="B115" s="633"/>
      <c r="C115" s="677"/>
      <c r="D115" s="633"/>
      <c r="E115" s="633"/>
      <c r="F115" s="678" t="s">
        <v>403</v>
      </c>
      <c r="G115" s="604"/>
      <c r="H115" s="672"/>
      <c r="I115" s="787">
        <f>SUM('LAMPIRAN III DONE'!$G$71:$G$88)</f>
        <v>0</v>
      </c>
      <c r="J115" s="784" t="str">
        <f t="shared" ref="J115:J132" si="5">IF(I115=0,"",I115)</f>
        <v/>
      </c>
      <c r="K115" s="642"/>
      <c r="L115" s="642"/>
      <c r="M115" s="642"/>
      <c r="O115" s="74" t="s">
        <v>289</v>
      </c>
    </row>
    <row r="116" spans="1:15" s="605" customFormat="1" ht="21" customHeight="1" x14ac:dyDescent="0.45">
      <c r="A116" s="637"/>
      <c r="B116" s="633"/>
      <c r="C116" s="677"/>
      <c r="D116" s="633"/>
      <c r="E116" s="631"/>
      <c r="F116" s="678" t="s">
        <v>404</v>
      </c>
      <c r="G116" s="604"/>
      <c r="H116" s="672"/>
      <c r="I116" s="787">
        <f>SUM('LAMPIRAN III DONE'!$G$90:$G$109)</f>
        <v>0</v>
      </c>
      <c r="J116" s="784" t="str">
        <f t="shared" si="5"/>
        <v/>
      </c>
      <c r="K116" s="586"/>
      <c r="L116" s="586"/>
      <c r="M116" s="586"/>
      <c r="O116" s="74" t="s">
        <v>290</v>
      </c>
    </row>
    <row r="117" spans="1:15" s="583" customFormat="1" ht="21" customHeight="1" x14ac:dyDescent="0.45">
      <c r="A117" s="599"/>
      <c r="B117" s="633"/>
      <c r="C117" s="677"/>
      <c r="D117" s="633"/>
      <c r="E117" s="671" t="s">
        <v>393</v>
      </c>
      <c r="F117" s="888" t="s">
        <v>713</v>
      </c>
      <c r="G117" s="888"/>
      <c r="H117" s="627"/>
      <c r="I117" s="787"/>
      <c r="J117" s="784" t="str">
        <f t="shared" si="5"/>
        <v/>
      </c>
      <c r="K117" s="586"/>
      <c r="L117" s="586"/>
      <c r="M117" s="586"/>
      <c r="O117" s="74" t="s">
        <v>516</v>
      </c>
    </row>
    <row r="118" spans="1:15" s="605" customFormat="1" ht="21" customHeight="1" x14ac:dyDescent="0.45">
      <c r="A118" s="632"/>
      <c r="B118" s="633"/>
      <c r="C118" s="677"/>
      <c r="D118" s="633"/>
      <c r="E118" s="633"/>
      <c r="F118" s="678" t="s">
        <v>403</v>
      </c>
      <c r="G118" s="604"/>
      <c r="H118" s="672"/>
      <c r="I118" s="782">
        <f>SUMIFS('LAMPIRAN III DONE'!$G$111:$G$120,'LAMPIRAN III DONE'!$K$111:$K$120,"2.b).1). Hasil penelitian atau hasil pemikiran yang DISAJIKAN dalam bentuk POSTER dan dimuat dalam PROSIDING yang DIPUBLIKASIKAN INTERNASIONAL")</f>
        <v>0</v>
      </c>
      <c r="J118" s="784" t="str">
        <f t="shared" si="5"/>
        <v/>
      </c>
      <c r="K118" s="604"/>
      <c r="L118" s="604"/>
      <c r="M118" s="604"/>
      <c r="O118" s="74" t="s">
        <v>517</v>
      </c>
    </row>
    <row r="119" spans="1:15" s="605" customFormat="1" ht="21" customHeight="1" x14ac:dyDescent="0.45">
      <c r="A119" s="632"/>
      <c r="B119" s="633"/>
      <c r="C119" s="677"/>
      <c r="D119" s="631"/>
      <c r="E119" s="631"/>
      <c r="F119" s="678" t="s">
        <v>404</v>
      </c>
      <c r="G119" s="604"/>
      <c r="H119" s="672"/>
      <c r="I119" s="782">
        <f>SUMIFS('LAMPIRAN III DONE'!$N$111:$N$120,'LAMPIRAN III DONE'!$K$111:$K$120,"2.b).2). Hasil penelitian atau hasil pemikiran yang DISAJIKAN dalam bentuk POSTER dan dimuat dalam PROSIDING yang DIPUBLIKASIKAN NASIONAL")</f>
        <v>0</v>
      </c>
      <c r="J119" s="784" t="str">
        <f t="shared" si="5"/>
        <v/>
      </c>
      <c r="K119" s="604"/>
      <c r="L119" s="604"/>
      <c r="M119" s="604"/>
      <c r="O119" s="74" t="s">
        <v>582</v>
      </c>
    </row>
    <row r="120" spans="1:15" s="605" customFormat="1" ht="31.5" customHeight="1" x14ac:dyDescent="0.45">
      <c r="A120" s="632"/>
      <c r="B120" s="633"/>
      <c r="C120" s="679"/>
      <c r="D120" s="675" t="s">
        <v>406</v>
      </c>
      <c r="E120" s="888" t="s">
        <v>714</v>
      </c>
      <c r="F120" s="888"/>
      <c r="G120" s="888"/>
      <c r="H120" s="627"/>
      <c r="I120" s="782">
        <f>SUM('LAMPIRAN III DONE'!$G$122:$G$131)</f>
        <v>0</v>
      </c>
      <c r="J120" s="784" t="str">
        <f>IF(I120=0,"",I120)</f>
        <v/>
      </c>
      <c r="K120" s="604"/>
      <c r="L120" s="604"/>
      <c r="M120" s="604"/>
      <c r="O120" s="74" t="s">
        <v>583</v>
      </c>
    </row>
    <row r="121" spans="1:15" s="605" customFormat="1" ht="30.75" customHeight="1" x14ac:dyDescent="0.45">
      <c r="A121" s="632"/>
      <c r="B121" s="631"/>
      <c r="C121" s="680">
        <v>2</v>
      </c>
      <c r="D121" s="887" t="s">
        <v>715</v>
      </c>
      <c r="E121" s="887"/>
      <c r="F121" s="887"/>
      <c r="G121" s="887"/>
      <c r="H121" s="627"/>
      <c r="I121" s="782">
        <f>SUM('LAMPIRAN III DONE'!$G$133:$G$142)</f>
        <v>0</v>
      </c>
      <c r="J121" s="784" t="str">
        <f t="shared" si="5"/>
        <v/>
      </c>
      <c r="K121" s="604"/>
      <c r="L121" s="604"/>
      <c r="M121" s="604"/>
      <c r="O121" s="74" t="s">
        <v>291</v>
      </c>
    </row>
    <row r="122" spans="1:15" s="605" customFormat="1" ht="19.5" customHeight="1" x14ac:dyDescent="0.45">
      <c r="A122" s="632"/>
      <c r="B122" s="634" t="s">
        <v>17</v>
      </c>
      <c r="C122" s="919" t="s">
        <v>716</v>
      </c>
      <c r="D122" s="920"/>
      <c r="E122" s="920"/>
      <c r="F122" s="920"/>
      <c r="G122" s="912"/>
      <c r="H122" s="672"/>
      <c r="I122" s="782"/>
      <c r="J122" s="784"/>
      <c r="K122" s="604"/>
      <c r="L122" s="604"/>
      <c r="M122" s="604"/>
      <c r="O122" s="74" t="s">
        <v>292</v>
      </c>
    </row>
    <row r="123" spans="1:15" s="605" customFormat="1" ht="20.2" customHeight="1" x14ac:dyDescent="0.45">
      <c r="A123" s="632"/>
      <c r="B123" s="631"/>
      <c r="C123" s="627"/>
      <c r="D123" s="905" t="s">
        <v>717</v>
      </c>
      <c r="E123" s="905"/>
      <c r="F123" s="905"/>
      <c r="G123" s="906"/>
      <c r="H123" s="672"/>
      <c r="I123" s="782">
        <f>IF('LAMPIRAN III DONE'!H160=0,"",'LAMPIRAN III DONE'!H160)</f>
        <v>63.134999999999998</v>
      </c>
      <c r="J123" s="784">
        <f t="shared" si="5"/>
        <v>63.134999999999998</v>
      </c>
      <c r="K123" s="604"/>
      <c r="L123" s="604"/>
      <c r="M123" s="604"/>
      <c r="O123" s="74" t="s">
        <v>293</v>
      </c>
    </row>
    <row r="124" spans="1:15" s="605" customFormat="1" ht="20.2" customHeight="1" x14ac:dyDescent="0.45">
      <c r="A124" s="632"/>
      <c r="B124" s="634" t="s">
        <v>118</v>
      </c>
      <c r="C124" s="919" t="s">
        <v>718</v>
      </c>
      <c r="D124" s="920"/>
      <c r="E124" s="920"/>
      <c r="F124" s="920"/>
      <c r="G124" s="912"/>
      <c r="H124" s="672"/>
      <c r="I124" s="782"/>
      <c r="J124" s="784"/>
      <c r="K124" s="604"/>
      <c r="L124" s="604"/>
      <c r="M124" s="604"/>
      <c r="O124" s="74" t="s">
        <v>294</v>
      </c>
    </row>
    <row r="125" spans="1:15" s="605" customFormat="1" ht="20.2" customHeight="1" x14ac:dyDescent="0.35">
      <c r="A125" s="632"/>
      <c r="B125" s="631"/>
      <c r="C125" s="627"/>
      <c r="D125" s="905" t="s">
        <v>717</v>
      </c>
      <c r="E125" s="905"/>
      <c r="F125" s="905"/>
      <c r="G125" s="906"/>
      <c r="H125" s="672"/>
      <c r="I125" s="782" t="str">
        <f>IF('LAMPIRAN III DONE'!H166=0,"",'LAMPIRAN III DONE'!H166)</f>
        <v/>
      </c>
      <c r="J125" s="784" t="str">
        <f t="shared" si="5"/>
        <v/>
      </c>
      <c r="K125" s="604"/>
      <c r="L125" s="604"/>
      <c r="M125" s="604"/>
    </row>
    <row r="126" spans="1:15" s="581" customFormat="1" ht="20.2" customHeight="1" x14ac:dyDescent="0.45">
      <c r="A126" s="647"/>
      <c r="B126" s="634" t="s">
        <v>119</v>
      </c>
      <c r="C126" s="919" t="s">
        <v>719</v>
      </c>
      <c r="D126" s="920"/>
      <c r="E126" s="920"/>
      <c r="F126" s="920"/>
      <c r="G126" s="912"/>
      <c r="H126" s="627"/>
      <c r="I126" s="782"/>
      <c r="J126" s="784"/>
      <c r="K126" s="648"/>
      <c r="L126" s="648"/>
      <c r="M126" s="648"/>
    </row>
    <row r="127" spans="1:15" s="605" customFormat="1" ht="18" customHeight="1" x14ac:dyDescent="0.35">
      <c r="A127" s="632"/>
      <c r="B127" s="633"/>
      <c r="C127" s="675">
        <v>1</v>
      </c>
      <c r="D127" s="919" t="s">
        <v>397</v>
      </c>
      <c r="E127" s="920"/>
      <c r="F127" s="920"/>
      <c r="G127" s="912"/>
      <c r="H127" s="627"/>
      <c r="I127" s="782">
        <f>SUMIFS('LAMPIRAN III DONE'!$N$168:$N$175,'LAMPIRAN III DONE'!$K$168:$K$175,"a.internasional")</f>
        <v>0</v>
      </c>
      <c r="J127" s="784" t="str">
        <f t="shared" si="5"/>
        <v/>
      </c>
      <c r="K127" s="604"/>
      <c r="L127" s="604"/>
      <c r="M127" s="604"/>
    </row>
    <row r="128" spans="1:15" s="605" customFormat="1" ht="20.25" customHeight="1" x14ac:dyDescent="0.35">
      <c r="A128" s="632"/>
      <c r="B128" s="631"/>
      <c r="C128" s="681">
        <v>2</v>
      </c>
      <c r="D128" s="919" t="s">
        <v>412</v>
      </c>
      <c r="E128" s="920"/>
      <c r="F128" s="920"/>
      <c r="G128" s="912"/>
      <c r="H128" s="672"/>
      <c r="I128" s="782">
        <f>SUMIFS('LAMPIRAN III DONE'!$N$168:$N$175,'LAMPIRAN III DONE'!$K$168:$K$175,"b.nasional")</f>
        <v>0</v>
      </c>
      <c r="J128" s="784" t="str">
        <f t="shared" si="5"/>
        <v/>
      </c>
      <c r="K128" s="604"/>
      <c r="L128" s="604"/>
      <c r="M128" s="604"/>
    </row>
    <row r="129" spans="1:13" s="605" customFormat="1" ht="32.25" customHeight="1" x14ac:dyDescent="0.35">
      <c r="A129" s="632"/>
      <c r="B129" s="616" t="s">
        <v>120</v>
      </c>
      <c r="C129" s="916" t="s">
        <v>720</v>
      </c>
      <c r="D129" s="917"/>
      <c r="E129" s="917"/>
      <c r="F129" s="917"/>
      <c r="G129" s="918"/>
      <c r="H129" s="627"/>
      <c r="I129" s="782"/>
      <c r="J129" s="784"/>
      <c r="K129" s="604"/>
      <c r="L129" s="604"/>
      <c r="M129" s="604"/>
    </row>
    <row r="130" spans="1:13" s="605" customFormat="1" ht="21" customHeight="1" x14ac:dyDescent="0.35">
      <c r="A130" s="632"/>
      <c r="B130" s="633"/>
      <c r="C130" s="675">
        <v>1</v>
      </c>
      <c r="D130" s="919" t="s">
        <v>589</v>
      </c>
      <c r="E130" s="920"/>
      <c r="F130" s="920"/>
      <c r="G130" s="912"/>
      <c r="H130" s="627"/>
      <c r="I130" s="782">
        <f>SUMIFS('LAMPIRAN III DONE'!$N$178:$N$183,'LAMPIRAN III DONE'!$K$178:$K$183,"a.internasional")</f>
        <v>0</v>
      </c>
      <c r="J130" s="784" t="str">
        <f t="shared" si="5"/>
        <v/>
      </c>
      <c r="K130" s="604"/>
      <c r="L130" s="604"/>
      <c r="M130" s="604"/>
    </row>
    <row r="131" spans="1:13" s="605" customFormat="1" ht="21" customHeight="1" x14ac:dyDescent="0.35">
      <c r="A131" s="632"/>
      <c r="B131" s="633"/>
      <c r="C131" s="675">
        <v>2</v>
      </c>
      <c r="D131" s="919" t="s">
        <v>590</v>
      </c>
      <c r="E131" s="920"/>
      <c r="F131" s="920"/>
      <c r="G131" s="912"/>
      <c r="H131" s="627"/>
      <c r="I131" s="782">
        <f>SUMIFS('LAMPIRAN III DONE'!$N$178:$N$183,'LAMPIRAN III DONE'!$K$178:$K$183,"b.nasional")</f>
        <v>10.199999999999999</v>
      </c>
      <c r="J131" s="784">
        <f t="shared" si="5"/>
        <v>10.199999999999999</v>
      </c>
      <c r="K131" s="604"/>
      <c r="L131" s="604"/>
      <c r="M131" s="604"/>
    </row>
    <row r="132" spans="1:13" s="605" customFormat="1" ht="21" customHeight="1" x14ac:dyDescent="0.35">
      <c r="A132" s="632"/>
      <c r="B132" s="631"/>
      <c r="C132" s="682">
        <v>3</v>
      </c>
      <c r="D132" s="937" t="s">
        <v>591</v>
      </c>
      <c r="E132" s="938"/>
      <c r="F132" s="938"/>
      <c r="G132" s="939"/>
      <c r="H132" s="672"/>
      <c r="I132" s="782">
        <f>SUMIFS('LAMPIRAN III DONE'!$N$178:$N$183,'LAMPIRAN III DONE'!$K$178:$K$183,"c.lokal")</f>
        <v>0</v>
      </c>
      <c r="J132" s="784" t="str">
        <f t="shared" si="5"/>
        <v/>
      </c>
      <c r="K132" s="604"/>
      <c r="L132" s="604"/>
      <c r="M132" s="604"/>
    </row>
    <row r="133" spans="1:13" s="605" customFormat="1" ht="20.2" customHeight="1" x14ac:dyDescent="0.35">
      <c r="A133" s="670" t="s">
        <v>33</v>
      </c>
      <c r="B133" s="913" t="s">
        <v>417</v>
      </c>
      <c r="C133" s="914"/>
      <c r="D133" s="914"/>
      <c r="E133" s="914"/>
      <c r="F133" s="914"/>
      <c r="G133" s="915"/>
      <c r="H133" s="644"/>
      <c r="I133" s="613"/>
      <c r="J133" s="603"/>
      <c r="K133" s="604"/>
      <c r="L133" s="604"/>
      <c r="M133" s="604"/>
    </row>
    <row r="134" spans="1:13" s="605" customFormat="1" ht="20.2" customHeight="1" x14ac:dyDescent="0.35">
      <c r="A134" s="632"/>
      <c r="B134" s="634" t="s">
        <v>15</v>
      </c>
      <c r="C134" s="919" t="s">
        <v>721</v>
      </c>
      <c r="D134" s="920"/>
      <c r="E134" s="920"/>
      <c r="F134" s="920"/>
      <c r="G134" s="912"/>
      <c r="H134" s="644"/>
      <c r="I134" s="613"/>
      <c r="J134" s="603"/>
      <c r="K134" s="604"/>
      <c r="L134" s="604"/>
      <c r="M134" s="604"/>
    </row>
    <row r="135" spans="1:13" s="605" customFormat="1" ht="47.25" customHeight="1" x14ac:dyDescent="0.35">
      <c r="A135" s="632"/>
      <c r="B135" s="631"/>
      <c r="C135" s="645"/>
      <c r="D135" s="933" t="s">
        <v>722</v>
      </c>
      <c r="E135" s="933"/>
      <c r="F135" s="933"/>
      <c r="G135" s="934"/>
      <c r="H135" s="644"/>
      <c r="I135" s="613" t="str">
        <f>IF('LAMPIRAN IV DONE'!G36=0,"",'LAMPIRAN IV DONE'!G36)</f>
        <v/>
      </c>
      <c r="J135" s="603" t="str">
        <f t="shared" ref="J135" si="6">IF(I135=0,"",I135)</f>
        <v/>
      </c>
      <c r="K135" s="604"/>
      <c r="L135" s="604"/>
      <c r="M135" s="604"/>
    </row>
    <row r="136" spans="1:13" s="581" customFormat="1" ht="21" customHeight="1" x14ac:dyDescent="0.45">
      <c r="A136" s="647"/>
      <c r="B136" s="634" t="s">
        <v>17</v>
      </c>
      <c r="C136" s="935" t="s">
        <v>723</v>
      </c>
      <c r="D136" s="936"/>
      <c r="E136" s="936"/>
      <c r="F136" s="936"/>
      <c r="G136" s="899"/>
      <c r="H136" s="683"/>
      <c r="I136" s="657"/>
      <c r="J136" s="600"/>
      <c r="K136" s="684"/>
      <c r="L136" s="684"/>
      <c r="M136" s="684"/>
    </row>
    <row r="137" spans="1:13" s="605" customFormat="1" ht="33" customHeight="1" x14ac:dyDescent="0.35">
      <c r="A137" s="632"/>
      <c r="B137" s="631"/>
      <c r="C137" s="645"/>
      <c r="D137" s="917" t="s">
        <v>724</v>
      </c>
      <c r="E137" s="917"/>
      <c r="F137" s="917"/>
      <c r="G137" s="918"/>
      <c r="H137" s="644"/>
      <c r="I137" s="613">
        <f>IF('LAMPIRAN IV DONE'!G48=0,"",'LAMPIRAN IV DONE'!G48)</f>
        <v>6</v>
      </c>
      <c r="J137" s="603">
        <f t="shared" ref="J137:J138" si="7">IF(I137=0,"",I137)</f>
        <v>6</v>
      </c>
      <c r="K137" s="685"/>
      <c r="L137" s="604"/>
      <c r="M137" s="604"/>
    </row>
    <row r="138" spans="1:13" s="581" customFormat="1" ht="18" customHeight="1" x14ac:dyDescent="0.45">
      <c r="A138" s="669"/>
      <c r="B138" s="646" t="s">
        <v>118</v>
      </c>
      <c r="C138" s="916" t="s">
        <v>725</v>
      </c>
      <c r="D138" s="917"/>
      <c r="E138" s="917"/>
      <c r="F138" s="917"/>
      <c r="G138" s="918"/>
      <c r="H138" s="644"/>
      <c r="I138" s="613"/>
      <c r="J138" s="603" t="str">
        <f t="shared" si="7"/>
        <v/>
      </c>
      <c r="K138" s="648"/>
      <c r="L138" s="648"/>
      <c r="M138" s="648"/>
    </row>
    <row r="139" spans="1:13" s="605" customFormat="1" ht="20.2" customHeight="1" x14ac:dyDescent="0.35">
      <c r="A139" s="907" t="s">
        <v>42</v>
      </c>
      <c r="B139" s="910" t="s">
        <v>332</v>
      </c>
      <c r="C139" s="910"/>
      <c r="D139" s="910"/>
      <c r="E139" s="910"/>
      <c r="F139" s="910"/>
      <c r="G139" s="910"/>
      <c r="H139" s="910"/>
      <c r="I139" s="910"/>
      <c r="J139" s="910"/>
      <c r="K139" s="910"/>
      <c r="L139" s="910"/>
      <c r="M139" s="910"/>
    </row>
    <row r="140" spans="1:13" s="605" customFormat="1" ht="20.2" customHeight="1" x14ac:dyDescent="0.35">
      <c r="A140" s="908"/>
      <c r="B140" s="908" t="s">
        <v>333</v>
      </c>
      <c r="C140" s="908"/>
      <c r="D140" s="908"/>
      <c r="E140" s="908"/>
      <c r="F140" s="908"/>
      <c r="G140" s="908"/>
      <c r="H140" s="911" t="s">
        <v>11</v>
      </c>
      <c r="I140" s="911"/>
      <c r="J140" s="911"/>
      <c r="K140" s="911"/>
      <c r="L140" s="911"/>
      <c r="M140" s="911"/>
    </row>
    <row r="141" spans="1:13" s="605" customFormat="1" ht="20.2" customHeight="1" x14ac:dyDescent="0.35">
      <c r="A141" s="908"/>
      <c r="B141" s="908"/>
      <c r="C141" s="908"/>
      <c r="D141" s="908"/>
      <c r="E141" s="908"/>
      <c r="F141" s="908"/>
      <c r="G141" s="908"/>
      <c r="H141" s="911" t="s">
        <v>334</v>
      </c>
      <c r="I141" s="911"/>
      <c r="J141" s="911"/>
      <c r="K141" s="911" t="s">
        <v>12</v>
      </c>
      <c r="L141" s="911"/>
      <c r="M141" s="911"/>
    </row>
    <row r="142" spans="1:13" s="605" customFormat="1" ht="20.2" customHeight="1" x14ac:dyDescent="0.35">
      <c r="A142" s="909"/>
      <c r="B142" s="909"/>
      <c r="C142" s="909"/>
      <c r="D142" s="909"/>
      <c r="E142" s="909"/>
      <c r="F142" s="909"/>
      <c r="G142" s="909"/>
      <c r="H142" s="592" t="s">
        <v>14</v>
      </c>
      <c r="I142" s="592" t="s">
        <v>13</v>
      </c>
      <c r="J142" s="592" t="s">
        <v>16</v>
      </c>
      <c r="K142" s="592" t="s">
        <v>14</v>
      </c>
      <c r="L142" s="592" t="s">
        <v>13</v>
      </c>
      <c r="M142" s="592" t="s">
        <v>16</v>
      </c>
    </row>
    <row r="143" spans="1:13" s="605" customFormat="1" ht="20.2" customHeight="1" x14ac:dyDescent="0.35">
      <c r="A143" s="586">
        <v>1</v>
      </c>
      <c r="B143" s="930">
        <v>2</v>
      </c>
      <c r="C143" s="931"/>
      <c r="D143" s="931"/>
      <c r="E143" s="931"/>
      <c r="F143" s="931"/>
      <c r="G143" s="932"/>
      <c r="H143" s="592">
        <v>3</v>
      </c>
      <c r="I143" s="592">
        <v>4</v>
      </c>
      <c r="J143" s="592">
        <v>5</v>
      </c>
      <c r="K143" s="592">
        <v>6</v>
      </c>
      <c r="L143" s="592">
        <v>7</v>
      </c>
      <c r="M143" s="592">
        <v>8</v>
      </c>
    </row>
    <row r="144" spans="1:13" s="605" customFormat="1" ht="20.2" customHeight="1" x14ac:dyDescent="0.35">
      <c r="A144" s="632"/>
      <c r="B144" s="631"/>
      <c r="C144" s="682">
        <v>1</v>
      </c>
      <c r="D144" s="919" t="s">
        <v>726</v>
      </c>
      <c r="E144" s="920"/>
      <c r="F144" s="920"/>
      <c r="G144" s="912"/>
      <c r="H144" s="644"/>
      <c r="I144" s="613"/>
      <c r="J144" s="603"/>
      <c r="K144" s="604"/>
      <c r="L144" s="604"/>
      <c r="M144" s="604"/>
    </row>
    <row r="145" spans="1:13" s="605" customFormat="1" ht="20.2" customHeight="1" x14ac:dyDescent="0.35">
      <c r="A145" s="632"/>
      <c r="B145" s="633"/>
      <c r="C145" s="686"/>
      <c r="D145" s="634" t="s">
        <v>348</v>
      </c>
      <c r="E145" s="886" t="s">
        <v>727</v>
      </c>
      <c r="F145" s="886"/>
      <c r="G145" s="886"/>
      <c r="H145" s="644"/>
      <c r="I145" s="613"/>
      <c r="J145" s="603"/>
      <c r="K145" s="604"/>
      <c r="L145" s="604"/>
      <c r="M145" s="604"/>
    </row>
    <row r="146" spans="1:13" s="605" customFormat="1" ht="20.2" customHeight="1" x14ac:dyDescent="0.35">
      <c r="A146" s="632"/>
      <c r="B146" s="633"/>
      <c r="C146" s="686"/>
      <c r="D146" s="633"/>
      <c r="E146" s="675" t="s">
        <v>391</v>
      </c>
      <c r="F146" s="904" t="s">
        <v>589</v>
      </c>
      <c r="G146" s="906"/>
      <c r="H146" s="644"/>
      <c r="I146" s="613" t="str">
        <f>IF(SUMIFS('LAMPIRAN IV DONE'!$F$50:$F$59,'LAMPIRAN IV DONE'!$I$50:$I$59,"a.1).Terjadwal/terprogram Dalam satu semester atau lebih Tingkat Internasional tiap program")=0,"",SUMIFS('LAMPIRAN IV DONE'!$F$50:$F$59,'LAMPIRAN IV DONE'!$I$50:$I$59,"a.1).Terjadwal/terprogram Dalam satu semester atau lebih Tingkat Internasional tiap program"))</f>
        <v/>
      </c>
      <c r="J146" s="603" t="str">
        <f t="shared" ref="J146:J148" si="8">IF(I146=0,"",I146)</f>
        <v/>
      </c>
      <c r="K146" s="604"/>
      <c r="L146" s="604"/>
      <c r="M146" s="604"/>
    </row>
    <row r="147" spans="1:13" s="605" customFormat="1" ht="20.2" customHeight="1" x14ac:dyDescent="0.35">
      <c r="A147" s="632"/>
      <c r="B147" s="633"/>
      <c r="C147" s="686"/>
      <c r="D147" s="633"/>
      <c r="E147" s="675" t="s">
        <v>393</v>
      </c>
      <c r="F147" s="904" t="s">
        <v>590</v>
      </c>
      <c r="G147" s="906"/>
      <c r="H147" s="644"/>
      <c r="I147" s="613" t="str">
        <f>IF(SUMIFS('LAMPIRAN IV DONE'!$F$50:$F$59,'LAMPIRAN IV DONE'!$I$50:$I$59,"a.2).Terjadwal/terprogram Dalam satu semester atau lebih Tingkat Nasional tiap program")=0,"",SUMIFS('LAMPIRAN IV DONE'!$F$50:$F$59,'LAMPIRAN IV DONE'!$I$50:$I$59,"a.2).Terjadwal/terprogram Dalam satu semester atau lebih Tingkat Nasional tiap program"))</f>
        <v/>
      </c>
      <c r="J147" s="603" t="str">
        <f t="shared" si="8"/>
        <v/>
      </c>
      <c r="K147" s="604"/>
      <c r="L147" s="604"/>
      <c r="M147" s="604"/>
    </row>
    <row r="148" spans="1:13" s="605" customFormat="1" ht="20.2" customHeight="1" x14ac:dyDescent="0.35">
      <c r="A148" s="632"/>
      <c r="B148" s="633"/>
      <c r="C148" s="687"/>
      <c r="D148" s="631"/>
      <c r="E148" s="675" t="s">
        <v>399</v>
      </c>
      <c r="F148" s="904" t="s">
        <v>591</v>
      </c>
      <c r="G148" s="906"/>
      <c r="H148" s="644"/>
      <c r="I148" s="613" t="str">
        <f>IF(SUMIFS('LAMPIRAN IV DONE'!$F$50:$F$59,'LAMPIRAN IV DONE'!$I$50:$I$59,"a.3).Terjadwal/terprogram Dalam satu semester atau lebih Tingkat Lokal tiap program")=0,"",SUMIFS('LAMPIRAN IV DONE'!$F$50:$F$59,'LAMPIRAN IV DONE'!$I$50:$I$59,"a.3).Terjadwal/terprogram Dalam satu semester atau lebih Tingkat Lokal tiap program"))</f>
        <v/>
      </c>
      <c r="J148" s="603" t="str">
        <f t="shared" si="8"/>
        <v/>
      </c>
      <c r="K148" s="604"/>
      <c r="L148" s="604"/>
      <c r="M148" s="604"/>
    </row>
    <row r="149" spans="1:13" s="605" customFormat="1" ht="17.25" customHeight="1" x14ac:dyDescent="0.35">
      <c r="A149" s="632"/>
      <c r="B149" s="633"/>
      <c r="C149" s="687"/>
      <c r="D149" s="616" t="s">
        <v>395</v>
      </c>
      <c r="E149" s="887" t="s">
        <v>728</v>
      </c>
      <c r="F149" s="887"/>
      <c r="G149" s="887"/>
      <c r="H149" s="644"/>
      <c r="I149" s="613"/>
      <c r="J149" s="603"/>
      <c r="K149" s="604"/>
      <c r="L149" s="604"/>
      <c r="M149" s="604"/>
    </row>
    <row r="150" spans="1:13" s="605" customFormat="1" ht="20.2" customHeight="1" x14ac:dyDescent="0.35">
      <c r="A150" s="632"/>
      <c r="B150" s="633"/>
      <c r="C150" s="687"/>
      <c r="D150" s="633"/>
      <c r="E150" s="675" t="s">
        <v>391</v>
      </c>
      <c r="F150" s="904" t="s">
        <v>589</v>
      </c>
      <c r="G150" s="906"/>
      <c r="H150" s="644"/>
      <c r="I150" s="613" t="str">
        <f>IF(SUMIFS('LAMPIRAN IV DONE'!$F$50:$F$59,'LAMPIRAN IV DONE'!$I$50:$I$59,"a.4).Terjadwal/terprogram Kurang dari satu semester dan minimal satu bulan Tingkat Internasional tiap program")=0,"",SUMIFS('LAMPIRAN IV DONE'!$F$50:$F$59,'LAMPIRAN IV DONE'!$I$50:$I$59,"a.4).Terjadwal/terprogram Kurang dari satu semester dan minimal satu bulan Tingkat Internasional tiap program"))</f>
        <v/>
      </c>
      <c r="J150" s="603" t="str">
        <f t="shared" ref="J150:J153" si="9">IF(I150=0,"",I150)</f>
        <v/>
      </c>
      <c r="K150" s="604"/>
      <c r="L150" s="604"/>
      <c r="M150" s="604"/>
    </row>
    <row r="151" spans="1:13" s="605" customFormat="1" ht="20.2" customHeight="1" x14ac:dyDescent="0.35">
      <c r="A151" s="632"/>
      <c r="B151" s="633"/>
      <c r="C151" s="687"/>
      <c r="D151" s="633"/>
      <c r="E151" s="675" t="s">
        <v>393</v>
      </c>
      <c r="F151" s="904" t="s">
        <v>590</v>
      </c>
      <c r="G151" s="906"/>
      <c r="H151" s="644"/>
      <c r="I151" s="613" t="str">
        <f>IF(SUMIFS('LAMPIRAN IV DONE'!$F$50:$F$59,'LAMPIRAN IV DONE'!$I$50:$I$59,"a.5).Terjadwal/terprogram Kurang dari satu semester dan minimal satu bulan Tingkat Nasional tiap program")=0,"",SUMIFS('LAMPIRAN IV DONE'!$F$50:$F$59,'LAMPIRAN IV DONE'!$I$50:$I$59,"a.5).Terjadwal/terprogram Kurang dari satu semester dan minimal satu bulan Tingkat Nasional tiap program"))</f>
        <v/>
      </c>
      <c r="J151" s="603" t="str">
        <f t="shared" si="9"/>
        <v/>
      </c>
      <c r="K151" s="604"/>
      <c r="L151" s="604"/>
      <c r="M151" s="604"/>
    </row>
    <row r="152" spans="1:13" s="605" customFormat="1" ht="20.2" customHeight="1" x14ac:dyDescent="0.35">
      <c r="A152" s="632"/>
      <c r="B152" s="633"/>
      <c r="C152" s="688"/>
      <c r="D152" s="631"/>
      <c r="E152" s="675" t="s">
        <v>399</v>
      </c>
      <c r="F152" s="904" t="s">
        <v>591</v>
      </c>
      <c r="G152" s="906"/>
      <c r="H152" s="644"/>
      <c r="I152" s="613" t="str">
        <f>IF(SUMIFS('LAMPIRAN IV DONE'!$F$50:$F$59,'LAMPIRAN IV DONE'!$I$50:$I$59,"a.6).Terjadwal/terprogram Kurang dari satu semester dan minimal satu bulan Tingkat Lokal tiap program")=0,"",SUMIFS('LAMPIRAN IV DONE'!$F$50:$F$59,'LAMPIRAN IV DONE'!$I$50:$I$59,"a.6).Terjadwal/terprogram Kurang dari satu semester dan minimal satu bulan Tingkat Lokal tiap program"))</f>
        <v/>
      </c>
      <c r="J152" s="603" t="str">
        <f t="shared" si="9"/>
        <v/>
      </c>
      <c r="K152" s="604"/>
      <c r="L152" s="604"/>
      <c r="M152" s="604"/>
    </row>
    <row r="153" spans="1:13" s="605" customFormat="1" ht="20.2" customHeight="1" x14ac:dyDescent="0.35">
      <c r="A153" s="632"/>
      <c r="B153" s="631"/>
      <c r="C153" s="682">
        <v>2</v>
      </c>
      <c r="D153" s="919" t="s">
        <v>425</v>
      </c>
      <c r="E153" s="920"/>
      <c r="F153" s="920"/>
      <c r="G153" s="912"/>
      <c r="H153" s="644"/>
      <c r="I153" s="613">
        <f>IF(SUMIFS('LAMPIRAN IV DONE'!$F$50:$F$59,'LAMPIRAN IV DONE'!$I$50:$I$59,"b.Insidental, tiap kegiatan program")=0,"",SUMIFS('LAMPIRAN IV DONE'!$F$50:$F$59,'LAMPIRAN IV DONE'!$I$50:$I$59,"b.Insidental, tiap kegiatan program"))</f>
        <v>1</v>
      </c>
      <c r="J153" s="603">
        <f t="shared" si="9"/>
        <v>1</v>
      </c>
      <c r="K153" s="604"/>
      <c r="L153" s="604"/>
      <c r="M153" s="604"/>
    </row>
    <row r="154" spans="1:13" s="605" customFormat="1" ht="30.75" customHeight="1" x14ac:dyDescent="0.35">
      <c r="A154" s="632"/>
      <c r="B154" s="616" t="s">
        <v>119</v>
      </c>
      <c r="C154" s="921" t="s">
        <v>729</v>
      </c>
      <c r="D154" s="922"/>
      <c r="E154" s="922"/>
      <c r="F154" s="922"/>
      <c r="G154" s="923"/>
      <c r="H154" s="644"/>
      <c r="I154" s="613"/>
      <c r="J154" s="603"/>
      <c r="K154" s="604"/>
      <c r="L154" s="604"/>
      <c r="M154" s="604"/>
    </row>
    <row r="155" spans="1:13" s="605" customFormat="1" ht="20.2" customHeight="1" x14ac:dyDescent="0.35">
      <c r="A155" s="632"/>
      <c r="B155" s="633"/>
      <c r="C155" s="682">
        <v>1</v>
      </c>
      <c r="D155" s="919" t="s">
        <v>730</v>
      </c>
      <c r="E155" s="920"/>
      <c r="F155" s="920"/>
      <c r="G155" s="912"/>
      <c r="H155" s="644"/>
      <c r="I155" s="613" t="str">
        <f>IF(SUMIFS('LAMPIRAN IV DONE'!$F$62:$F$71,'LAMPIRAN IV DONE'!$I$62:$I$71,"a.berdasarkan bidang keahlian")=0,"",SUMIFS('LAMPIRAN IV DONE'!$F$62:$F$71,'LAMPIRAN IV DONE'!$I$62:$I$71,"a.berdasarkan bidang keahlian"))</f>
        <v/>
      </c>
      <c r="J155" s="603" t="str">
        <f t="shared" ref="J155:J157" si="10">IF(I155=0,"",I155)</f>
        <v/>
      </c>
      <c r="K155" s="604"/>
      <c r="L155" s="604"/>
      <c r="M155" s="604"/>
    </row>
    <row r="156" spans="1:13" s="605" customFormat="1" ht="20.2" customHeight="1" x14ac:dyDescent="0.35">
      <c r="A156" s="632"/>
      <c r="B156" s="633"/>
      <c r="C156" s="675">
        <v>2</v>
      </c>
      <c r="D156" s="919" t="s">
        <v>731</v>
      </c>
      <c r="E156" s="920"/>
      <c r="F156" s="920"/>
      <c r="G156" s="912"/>
      <c r="H156" s="644"/>
      <c r="I156" s="613" t="str">
        <f>IF(SUMIFS('LAMPIRAN IV DONE'!$F$62:$F$71,'LAMPIRAN IV DONE'!$I$62:$I$71,"b.Berdasarkan penugasan lembaga Perguruan Tinggi")=0,"",SUMIFS('LAMPIRAN IV DONE'!$F$62:$F$71,'LAMPIRAN IV DONE'!$I$62:$I$71,"b.Berdasarkan penugasan lembaga Perguruan Tinggi"))</f>
        <v/>
      </c>
      <c r="J156" s="603" t="str">
        <f t="shared" si="10"/>
        <v/>
      </c>
      <c r="K156" s="604"/>
      <c r="L156" s="604"/>
      <c r="M156" s="604"/>
    </row>
    <row r="157" spans="1:13" s="605" customFormat="1" ht="20.2" customHeight="1" x14ac:dyDescent="0.35">
      <c r="A157" s="632"/>
      <c r="B157" s="676"/>
      <c r="C157" s="675">
        <v>3</v>
      </c>
      <c r="D157" s="924" t="s">
        <v>732</v>
      </c>
      <c r="E157" s="925"/>
      <c r="F157" s="925"/>
      <c r="G157" s="926"/>
      <c r="H157" s="644"/>
      <c r="I157" s="613" t="str">
        <f>IF(SUMIFS('LAMPIRAN IV DONE'!$F$62:$F$71,'LAMPIRAN IV DONE'!$I$62:$I$71,"c.Berdasarkan fungsi dan jabatan")=0,"",SUMIFS('LAMPIRAN IV DONE'!$F$62:$F$71,'LAMPIRAN IV DONE'!$I$62:$I$71,"c.Berdasarkan fungsi dan jabatan"))</f>
        <v/>
      </c>
      <c r="J157" s="603" t="str">
        <f t="shared" si="10"/>
        <v/>
      </c>
      <c r="K157" s="604"/>
      <c r="L157" s="604"/>
      <c r="M157" s="604"/>
    </row>
    <row r="158" spans="1:13" s="605" customFormat="1" ht="20.2" customHeight="1" x14ac:dyDescent="0.35">
      <c r="A158" s="632"/>
      <c r="B158" s="671" t="s">
        <v>120</v>
      </c>
      <c r="C158" s="919" t="s">
        <v>733</v>
      </c>
      <c r="D158" s="920"/>
      <c r="E158" s="920"/>
      <c r="F158" s="920"/>
      <c r="G158" s="912"/>
      <c r="H158" s="659"/>
      <c r="I158" s="613"/>
      <c r="J158" s="603"/>
      <c r="K158" s="604"/>
      <c r="L158" s="604"/>
      <c r="M158" s="604"/>
    </row>
    <row r="159" spans="1:13" s="605" customFormat="1" ht="36" customHeight="1" x14ac:dyDescent="0.35">
      <c r="A159" s="632"/>
      <c r="B159" s="676"/>
      <c r="C159" s="645"/>
      <c r="D159" s="920" t="s">
        <v>734</v>
      </c>
      <c r="E159" s="920"/>
      <c r="F159" s="920"/>
      <c r="G159" s="912"/>
      <c r="H159" s="659"/>
      <c r="I159" s="613" t="str">
        <f>IF('LAMPIRAN IV DONE'!G84=0,"",'LAMPIRAN IV DONE'!G84)</f>
        <v/>
      </c>
      <c r="J159" s="603" t="str">
        <f t="shared" ref="J159:J160" si="11">IF(I159=0,"",I159)</f>
        <v/>
      </c>
      <c r="K159" s="604"/>
      <c r="L159" s="604"/>
      <c r="M159" s="604"/>
    </row>
    <row r="160" spans="1:13" s="605" customFormat="1" ht="25.05" customHeight="1" x14ac:dyDescent="0.35">
      <c r="A160" s="689"/>
      <c r="B160" s="927" t="s">
        <v>431</v>
      </c>
      <c r="C160" s="928"/>
      <c r="D160" s="928"/>
      <c r="E160" s="928"/>
      <c r="F160" s="928"/>
      <c r="G160" s="929"/>
      <c r="H160" s="659"/>
      <c r="I160" s="788">
        <f>SUM(I144:I159,I94:I138,I47:I88,I32:I41)</f>
        <v>144.33499999999998</v>
      </c>
      <c r="J160" s="784">
        <f t="shared" si="11"/>
        <v>144.33499999999998</v>
      </c>
      <c r="K160" s="604"/>
      <c r="L160" s="604"/>
      <c r="M160" s="604"/>
    </row>
    <row r="161" spans="1:13" s="605" customFormat="1" ht="20.2" customHeight="1" x14ac:dyDescent="0.35">
      <c r="A161" s="690" t="s">
        <v>135</v>
      </c>
      <c r="B161" s="913" t="s">
        <v>433</v>
      </c>
      <c r="C161" s="914"/>
      <c r="D161" s="914"/>
      <c r="E161" s="914"/>
      <c r="F161" s="914"/>
      <c r="G161" s="915"/>
      <c r="H161" s="644"/>
      <c r="I161" s="613"/>
      <c r="J161" s="603"/>
      <c r="K161" s="604"/>
      <c r="L161" s="604"/>
      <c r="M161" s="604"/>
    </row>
    <row r="162" spans="1:13" s="605" customFormat="1" ht="31.5" customHeight="1" x14ac:dyDescent="0.35">
      <c r="A162" s="632"/>
      <c r="B162" s="623" t="s">
        <v>15</v>
      </c>
      <c r="C162" s="916" t="s">
        <v>735</v>
      </c>
      <c r="D162" s="917"/>
      <c r="E162" s="917"/>
      <c r="F162" s="917"/>
      <c r="G162" s="918"/>
      <c r="H162" s="644"/>
      <c r="I162" s="613"/>
      <c r="J162" s="603"/>
      <c r="K162" s="604"/>
      <c r="L162" s="604"/>
      <c r="M162" s="604"/>
    </row>
    <row r="163" spans="1:13" s="605" customFormat="1" ht="20.2" customHeight="1" x14ac:dyDescent="0.35">
      <c r="A163" s="632"/>
      <c r="B163" s="673"/>
      <c r="C163" s="675">
        <v>1</v>
      </c>
      <c r="D163" s="886" t="s">
        <v>736</v>
      </c>
      <c r="E163" s="886"/>
      <c r="F163" s="886"/>
      <c r="G163" s="886"/>
      <c r="H163" s="644"/>
      <c r="I163" s="613">
        <f>IF(SUMIFS('LAMPIRAN V DONE'!$F$26:$F$35,'LAMPIRAN V DONE'!$I$26:$I$35,"a.Sebagai Ketua/wakil ketua pertahun")=0,"",SUMIFS('LAMPIRAN V DONE'!$F$26:$F$35,'LAMPIRAN V DONE'!$I$26:$I$35,"a.Sebagai Ketua/wakil ketua pertahun"))</f>
        <v>3</v>
      </c>
      <c r="J163" s="603">
        <f t="shared" ref="J163:J164" si="12">IF(I163=0,"",I163)</f>
        <v>3</v>
      </c>
      <c r="K163" s="604"/>
      <c r="L163" s="604"/>
      <c r="M163" s="604"/>
    </row>
    <row r="164" spans="1:13" s="605" customFormat="1" ht="20.2" customHeight="1" x14ac:dyDescent="0.35">
      <c r="A164" s="632"/>
      <c r="B164" s="676"/>
      <c r="C164" s="675">
        <v>2</v>
      </c>
      <c r="D164" s="888" t="s">
        <v>737</v>
      </c>
      <c r="E164" s="888"/>
      <c r="F164" s="888"/>
      <c r="G164" s="888"/>
      <c r="H164" s="644"/>
      <c r="I164" s="613" t="str">
        <f>IF(SUMIFS('LAMPIRAN V DONE'!$F$26:$F$35,'LAMPIRAN V DONE'!$I$26:$I$35,"b.Sebagai Anggota pertahun")=0,"",SUMIFS('LAMPIRAN V DONE'!$F$26:$F$35,'LAMPIRAN V DONE'!$I$26:$I$35,"b.Sebagai Anggota pertahun"))</f>
        <v/>
      </c>
      <c r="J164" s="603" t="str">
        <f t="shared" si="12"/>
        <v/>
      </c>
      <c r="K164" s="604"/>
      <c r="L164" s="604"/>
      <c r="M164" s="604"/>
    </row>
    <row r="165" spans="1:13" s="581" customFormat="1" ht="21" customHeight="1" x14ac:dyDescent="0.45">
      <c r="A165" s="647"/>
      <c r="B165" s="671" t="s">
        <v>17</v>
      </c>
      <c r="C165" s="888" t="s">
        <v>738</v>
      </c>
      <c r="D165" s="888"/>
      <c r="E165" s="888"/>
      <c r="F165" s="888"/>
      <c r="G165" s="888"/>
      <c r="H165" s="644"/>
      <c r="I165" s="613"/>
      <c r="J165" s="603"/>
      <c r="K165" s="648"/>
      <c r="L165" s="648"/>
      <c r="M165" s="648"/>
    </row>
    <row r="166" spans="1:13" s="605" customFormat="1" ht="20.2" customHeight="1" x14ac:dyDescent="0.35">
      <c r="A166" s="632"/>
      <c r="B166" s="673"/>
      <c r="C166" s="671">
        <v>1</v>
      </c>
      <c r="D166" s="888" t="s">
        <v>739</v>
      </c>
      <c r="E166" s="888"/>
      <c r="F166" s="888"/>
      <c r="G166" s="888"/>
      <c r="H166" s="644"/>
      <c r="I166" s="613"/>
      <c r="J166" s="603"/>
      <c r="K166" s="604"/>
      <c r="L166" s="604"/>
      <c r="M166" s="604"/>
    </row>
    <row r="167" spans="1:13" s="605" customFormat="1" ht="20.2" customHeight="1" x14ac:dyDescent="0.35">
      <c r="A167" s="637"/>
      <c r="B167" s="673"/>
      <c r="C167" s="633"/>
      <c r="D167" s="636" t="s">
        <v>348</v>
      </c>
      <c r="E167" s="888" t="s">
        <v>439</v>
      </c>
      <c r="F167" s="888"/>
      <c r="G167" s="888"/>
      <c r="H167" s="639"/>
      <c r="I167" s="630" t="str">
        <f>IF(SUMIFS('LAMPIRAN V DONE'!$F$38:$F$47,'LAMPIRAN V DONE'!$I$38:$I$47,"a.1).Panitia pusat sebagai Ketua/Wakil ketua")=0,"",SUMIFS('LAMPIRAN V DONE'!$F$38:$F$47,'LAMPIRAN V DONE'!$I$38:$I$47,"a.1).Panitia pusat sebagai Ketua/Wakil ketua"))</f>
        <v/>
      </c>
      <c r="J167" s="603" t="str">
        <f t="shared" ref="J167:J168" si="13">IF(I167=0,"",I167)</f>
        <v/>
      </c>
      <c r="K167" s="640"/>
      <c r="L167" s="640"/>
      <c r="M167" s="640"/>
    </row>
    <row r="168" spans="1:13" s="605" customFormat="1" ht="20.2" customHeight="1" x14ac:dyDescent="0.35">
      <c r="A168" s="637"/>
      <c r="B168" s="673"/>
      <c r="C168" s="676"/>
      <c r="D168" s="636" t="s">
        <v>350</v>
      </c>
      <c r="E168" s="886" t="s">
        <v>440</v>
      </c>
      <c r="F168" s="886"/>
      <c r="G168" s="886"/>
      <c r="H168" s="641"/>
      <c r="I168" s="630" t="str">
        <f>IF(SUMIFS('LAMPIRAN V DONE'!$F$38:$F$47,'LAMPIRAN V DONE'!$I$38:$I$47,"a.2).Panitia pusat sebagai Anggota")=0,"",SUMIFS('LAMPIRAN V DONE'!$F$38:$F$47,'LAMPIRAN V DONE'!$I$38:$I$47,"a.2).Panitia pusat sebagai Anggota"))</f>
        <v/>
      </c>
      <c r="J168" s="603" t="str">
        <f t="shared" si="13"/>
        <v/>
      </c>
      <c r="K168" s="642"/>
      <c r="L168" s="642"/>
      <c r="M168" s="642"/>
    </row>
    <row r="169" spans="1:13" s="605" customFormat="1" ht="20.2" customHeight="1" x14ac:dyDescent="0.35">
      <c r="A169" s="637"/>
      <c r="B169" s="673"/>
      <c r="C169" s="671">
        <v>2</v>
      </c>
      <c r="D169" s="888" t="s">
        <v>740</v>
      </c>
      <c r="E169" s="888"/>
      <c r="F169" s="888"/>
      <c r="G169" s="888"/>
      <c r="H169" s="641"/>
      <c r="I169" s="586"/>
      <c r="J169" s="642"/>
      <c r="K169" s="642"/>
      <c r="L169" s="642"/>
      <c r="M169" s="642"/>
    </row>
    <row r="170" spans="1:13" s="605" customFormat="1" ht="20.2" customHeight="1" x14ac:dyDescent="0.35">
      <c r="A170" s="637"/>
      <c r="B170" s="633"/>
      <c r="C170" s="673"/>
      <c r="D170" s="636" t="s">
        <v>348</v>
      </c>
      <c r="E170" s="888" t="s">
        <v>439</v>
      </c>
      <c r="F170" s="888"/>
      <c r="G170" s="888"/>
      <c r="H170" s="588"/>
      <c r="I170" s="630" t="str">
        <f>IF(SUMIFS('LAMPIRAN V DONE'!$F$38:$F$47,'LAMPIRAN V DONE'!$I$38:$I$47,"b.1).Panitia Daerah sebagai Ketua/Wakil Ketua")=0,"",SUMIFS('LAMPIRAN V DONE'!$F$38:$F$47,'LAMPIRAN V DONE'!$I$38:$I$47,"b.1).Panitia Daerah sebagai Ketua/Wakil Ketua"))</f>
        <v/>
      </c>
      <c r="J170" s="603" t="str">
        <f t="shared" ref="J170:J171" si="14">IF(I170=0,"",I170)</f>
        <v/>
      </c>
      <c r="K170" s="586"/>
      <c r="L170" s="586"/>
      <c r="M170" s="586"/>
    </row>
    <row r="171" spans="1:13" s="583" customFormat="1" ht="20.2" customHeight="1" x14ac:dyDescent="0.45">
      <c r="A171" s="599"/>
      <c r="B171" s="631"/>
      <c r="C171" s="676"/>
      <c r="D171" s="636" t="s">
        <v>350</v>
      </c>
      <c r="E171" s="886" t="s">
        <v>440</v>
      </c>
      <c r="F171" s="886"/>
      <c r="G171" s="886"/>
      <c r="H171" s="588"/>
      <c r="I171" s="630" t="str">
        <f>IF(SUMIFS('LAMPIRAN V DONE'!$F$38:$F$47,'LAMPIRAN V DONE'!$I$38:$I$47,"b.2).Panitia Daerah sebagai Anggota")=0,"",SUMIFS('LAMPIRAN V DONE'!$F$38:$F$47,'LAMPIRAN V DONE'!$I$38:$I$47,"b.2).Panitia Daerah sebagai Anggota"))</f>
        <v/>
      </c>
      <c r="J171" s="603" t="str">
        <f t="shared" si="14"/>
        <v/>
      </c>
      <c r="K171" s="586"/>
      <c r="L171" s="586"/>
      <c r="M171" s="586"/>
    </row>
    <row r="172" spans="1:13" s="605" customFormat="1" ht="20.2" customHeight="1" x14ac:dyDescent="0.35">
      <c r="A172" s="632"/>
      <c r="B172" s="634" t="s">
        <v>118</v>
      </c>
      <c r="C172" s="888" t="s">
        <v>28</v>
      </c>
      <c r="D172" s="888"/>
      <c r="E172" s="888"/>
      <c r="F172" s="888"/>
      <c r="G172" s="888"/>
      <c r="H172" s="644"/>
      <c r="I172" s="613"/>
      <c r="J172" s="603"/>
      <c r="K172" s="604"/>
      <c r="L172" s="604"/>
      <c r="M172" s="604"/>
    </row>
    <row r="173" spans="1:13" s="605" customFormat="1" ht="20.2" customHeight="1" x14ac:dyDescent="0.35">
      <c r="A173" s="632"/>
      <c r="B173" s="633"/>
      <c r="C173" s="671">
        <v>1</v>
      </c>
      <c r="D173" s="888" t="s">
        <v>589</v>
      </c>
      <c r="E173" s="888"/>
      <c r="F173" s="888"/>
      <c r="G173" s="888"/>
      <c r="H173" s="644"/>
      <c r="I173" s="613"/>
      <c r="J173" s="603"/>
      <c r="K173" s="604"/>
      <c r="L173" s="604"/>
      <c r="M173" s="604"/>
    </row>
    <row r="174" spans="1:13" s="605" customFormat="1" ht="20.2" customHeight="1" x14ac:dyDescent="0.35">
      <c r="A174" s="632"/>
      <c r="B174" s="633"/>
      <c r="C174" s="673"/>
      <c r="D174" s="636" t="s">
        <v>443</v>
      </c>
      <c r="E174" s="886" t="s">
        <v>444</v>
      </c>
      <c r="F174" s="886"/>
      <c r="G174" s="886"/>
      <c r="H174" s="644"/>
      <c r="I174" s="613" t="str">
        <f>IF(SUMIFS('LAMPIRAN V DONE'!$F$50:$F$59,'LAMPIRAN V DONE'!$I$50:$I$59,"1) TINGKAT INTERNASIONAL Sebagai PENGURUS")=0,"",SUMIFS('LAMPIRAN V DONE'!$F$50:$F$59,'LAMPIRAN V DONE'!$I$50:$I$59,"1) TINGKAT INTERNASIONAL Sebagai PENGURUS"))</f>
        <v/>
      </c>
      <c r="J174" s="603" t="str">
        <f t="shared" ref="J174:J176" si="15">IF(I174=0,"",I174)</f>
        <v/>
      </c>
      <c r="K174" s="604"/>
      <c r="L174" s="604"/>
      <c r="M174" s="604"/>
    </row>
    <row r="175" spans="1:13" s="605" customFormat="1" ht="20.2" customHeight="1" x14ac:dyDescent="0.35">
      <c r="A175" s="632"/>
      <c r="B175" s="633"/>
      <c r="C175" s="673"/>
      <c r="D175" s="636" t="s">
        <v>395</v>
      </c>
      <c r="E175" s="886" t="s">
        <v>741</v>
      </c>
      <c r="F175" s="886"/>
      <c r="G175" s="886"/>
      <c r="H175" s="644"/>
      <c r="I175" s="613" t="str">
        <f>IF(SUMIFS('LAMPIRAN V DONE'!$F$50:$F$59,'LAMPIRAN V DONE'!$I$50:$I$59,"2) TINGKAT INTERNASIONAL Sebagai ANGGOTA ATAS PERMINTAAN")=0,"",SUMIFS('LAMPIRAN V DONE'!$F$50:$F$59,'LAMPIRAN V DONE'!$I$50:$I$59,"2) TINGKAT INTERNASIONAL Sebagai ANGGOTA ATAS PERMINTAAN"))</f>
        <v/>
      </c>
      <c r="J175" s="603" t="str">
        <f t="shared" si="15"/>
        <v/>
      </c>
      <c r="K175" s="604"/>
      <c r="L175" s="604"/>
      <c r="M175" s="604"/>
    </row>
    <row r="176" spans="1:13" s="605" customFormat="1" ht="20.2" customHeight="1" x14ac:dyDescent="0.35">
      <c r="A176" s="632"/>
      <c r="B176" s="633"/>
      <c r="C176" s="676"/>
      <c r="D176" s="636" t="s">
        <v>446</v>
      </c>
      <c r="E176" s="886" t="s">
        <v>440</v>
      </c>
      <c r="F176" s="886"/>
      <c r="G176" s="886"/>
      <c r="H176" s="644"/>
      <c r="I176" s="613" t="str">
        <f>IF(SUMIFS('LAMPIRAN V DONE'!$F$50:$F$59,'LAMPIRAN V DONE'!$I$50:$I$59,"3) TINGKAT INTERNASIONAL Sebagai ANGGOTA")=0,"",SUMIFS('LAMPIRAN V DONE'!$F$50:$F$59,'LAMPIRAN V DONE'!$I$50:$I$59,"3) TINGKAT INTERNASIONAL Sebagai ANGGOTA"))</f>
        <v/>
      </c>
      <c r="J176" s="603" t="str">
        <f t="shared" si="15"/>
        <v/>
      </c>
      <c r="K176" s="604"/>
      <c r="L176" s="604"/>
      <c r="M176" s="604"/>
    </row>
    <row r="177" spans="1:13" s="605" customFormat="1" ht="20.2" customHeight="1" x14ac:dyDescent="0.35">
      <c r="A177" s="632"/>
      <c r="B177" s="633"/>
      <c r="C177" s="671">
        <v>2</v>
      </c>
      <c r="D177" s="888" t="s">
        <v>590</v>
      </c>
      <c r="E177" s="888"/>
      <c r="F177" s="888"/>
      <c r="G177" s="888"/>
      <c r="H177" s="644"/>
      <c r="I177" s="613"/>
      <c r="J177" s="603"/>
      <c r="K177" s="604"/>
      <c r="L177" s="604"/>
      <c r="M177" s="604"/>
    </row>
    <row r="178" spans="1:13" s="605" customFormat="1" ht="20.2" customHeight="1" x14ac:dyDescent="0.35">
      <c r="A178" s="632"/>
      <c r="B178" s="633"/>
      <c r="C178" s="673"/>
      <c r="D178" s="636" t="s">
        <v>443</v>
      </c>
      <c r="E178" s="886" t="s">
        <v>444</v>
      </c>
      <c r="F178" s="886"/>
      <c r="G178" s="886"/>
      <c r="H178" s="644"/>
      <c r="I178" s="613" t="str">
        <f>IF(SUMIFS('LAMPIRAN V DONE'!$F$50:$F$59,'LAMPIRAN V DONE'!$I$50:$I$59,"4) TINGKAT NASIONAL Sebagai PENGURUS")=0,"",SUMIFS('LAMPIRAN V DONE'!$F$50:$F$59,'LAMPIRAN V DONE'!$I$50:$I$59,"4) TINGKAT NASIONAL Sebagai PENGURUS"))</f>
        <v/>
      </c>
      <c r="J178" s="603" t="str">
        <f t="shared" ref="J178:J180" si="16">IF(I178=0,"",I178)</f>
        <v/>
      </c>
      <c r="K178" s="604"/>
      <c r="L178" s="604"/>
      <c r="M178" s="604"/>
    </row>
    <row r="179" spans="1:13" s="605" customFormat="1" ht="20.2" customHeight="1" x14ac:dyDescent="0.35">
      <c r="A179" s="632"/>
      <c r="B179" s="633"/>
      <c r="C179" s="673"/>
      <c r="D179" s="636" t="s">
        <v>395</v>
      </c>
      <c r="E179" s="886" t="s">
        <v>741</v>
      </c>
      <c r="F179" s="886"/>
      <c r="G179" s="886"/>
      <c r="H179" s="644"/>
      <c r="I179" s="613" t="str">
        <f>IF(SUMIFS('LAMPIRAN V DONE'!$F$50:$F$59,'LAMPIRAN V DONE'!$I$50:$I$59,"5) TINGKAT NASIONAL Sebagai ANGGOTA ATAS PERMINTAAN")=0,"",SUMIFS('LAMPIRAN V DONE'!$F$50:$F$59,'LAMPIRAN V DONE'!$I$50:$I$59,"5) TINGKAT NASIONAL Sebagai ANGGOTA ATAS PERMINTAAN"))</f>
        <v/>
      </c>
      <c r="J179" s="603" t="str">
        <f t="shared" si="16"/>
        <v/>
      </c>
      <c r="K179" s="604"/>
      <c r="L179" s="604"/>
      <c r="M179" s="604"/>
    </row>
    <row r="180" spans="1:13" s="605" customFormat="1" ht="20.2" customHeight="1" x14ac:dyDescent="0.35">
      <c r="A180" s="632"/>
      <c r="B180" s="631"/>
      <c r="C180" s="676"/>
      <c r="D180" s="636" t="s">
        <v>446</v>
      </c>
      <c r="E180" s="886" t="s">
        <v>440</v>
      </c>
      <c r="F180" s="886"/>
      <c r="G180" s="886"/>
      <c r="H180" s="644"/>
      <c r="I180" s="613" t="str">
        <f>IF(SUMIFS('LAMPIRAN V DONE'!$F$50:$F$59,'LAMPIRAN V DONE'!$I$50:$I$59,"6) TINGKAT NASIONAL Sebagai ANGGOTA")=0,"",SUMIFS('LAMPIRAN V DONE'!$F$50:$F$59,'LAMPIRAN V DONE'!$I$50:$I$59,"6) TINGKAT NASIONAL Sebagai ANGGOTA"))</f>
        <v/>
      </c>
      <c r="J180" s="603" t="str">
        <f t="shared" si="16"/>
        <v/>
      </c>
      <c r="K180" s="604"/>
      <c r="L180" s="604"/>
      <c r="M180" s="604"/>
    </row>
    <row r="181" spans="1:13" s="605" customFormat="1" ht="20.2" customHeight="1" x14ac:dyDescent="0.35">
      <c r="A181" s="632"/>
      <c r="B181" s="634" t="s">
        <v>119</v>
      </c>
      <c r="C181" s="888" t="s">
        <v>137</v>
      </c>
      <c r="D181" s="888"/>
      <c r="E181" s="888"/>
      <c r="F181" s="888"/>
      <c r="G181" s="888"/>
      <c r="H181" s="644"/>
      <c r="I181" s="691"/>
      <c r="J181" s="603"/>
      <c r="K181" s="604"/>
      <c r="L181" s="604"/>
      <c r="M181" s="604"/>
    </row>
    <row r="182" spans="1:13" s="605" customFormat="1" ht="33.75" customHeight="1" x14ac:dyDescent="0.35">
      <c r="A182" s="632"/>
      <c r="B182" s="631"/>
      <c r="C182" s="627"/>
      <c r="D182" s="912" t="s">
        <v>742</v>
      </c>
      <c r="E182" s="888"/>
      <c r="F182" s="888"/>
      <c r="G182" s="888"/>
      <c r="H182" s="644"/>
      <c r="I182" s="603" t="str">
        <f>IF('LAMPIRAN V DONE'!G72=0,"",'LAMPIRAN V DONE'!G72)</f>
        <v/>
      </c>
      <c r="J182" s="603" t="str">
        <f t="shared" ref="J182" si="17">IF(I182=0,"",I182)</f>
        <v/>
      </c>
      <c r="K182" s="604"/>
      <c r="L182" s="604"/>
      <c r="M182" s="604"/>
    </row>
    <row r="183" spans="1:13" s="605" customFormat="1" ht="18.75" customHeight="1" x14ac:dyDescent="0.35">
      <c r="A183" s="632"/>
      <c r="B183" s="616" t="s">
        <v>120</v>
      </c>
      <c r="C183" s="887" t="s">
        <v>743</v>
      </c>
      <c r="D183" s="887"/>
      <c r="E183" s="887"/>
      <c r="F183" s="887"/>
      <c r="G183" s="887"/>
      <c r="H183" s="644"/>
      <c r="I183" s="691"/>
      <c r="J183" s="603"/>
      <c r="K183" s="604"/>
      <c r="L183" s="604"/>
      <c r="M183" s="604"/>
    </row>
    <row r="184" spans="1:13" s="605" customFormat="1" ht="20.2" customHeight="1" x14ac:dyDescent="0.35">
      <c r="A184" s="632"/>
      <c r="B184" s="633"/>
      <c r="C184" s="671">
        <v>1</v>
      </c>
      <c r="D184" s="900" t="s">
        <v>744</v>
      </c>
      <c r="E184" s="900"/>
      <c r="F184" s="900"/>
      <c r="G184" s="900"/>
      <c r="H184" s="683"/>
      <c r="I184" s="603" t="str">
        <f>IF(SUMIFS('LAMPIRAN V DONE'!$F$74:$F$83,'LAMPIRAN V DONE'!$I$74:$I$83,"a. Sebagai ketua delegasi")=0,"",SUMIFS('LAMPIRAN V DONE'!$F$74:$F$83,'LAMPIRAN V DONE'!$I$74:$I$83,"a. Sebagai ketua delegasi"))</f>
        <v/>
      </c>
      <c r="J184" s="603" t="str">
        <f t="shared" ref="J184:J185" si="18">IF(I184=0,"",I184)</f>
        <v/>
      </c>
      <c r="K184" s="658"/>
      <c r="L184" s="658"/>
      <c r="M184" s="658"/>
    </row>
    <row r="185" spans="1:13" s="605" customFormat="1" ht="20.2" customHeight="1" x14ac:dyDescent="0.35">
      <c r="A185" s="655"/>
      <c r="B185" s="631"/>
      <c r="C185" s="675">
        <v>2</v>
      </c>
      <c r="D185" s="888" t="s">
        <v>745</v>
      </c>
      <c r="E185" s="888"/>
      <c r="F185" s="888"/>
      <c r="G185" s="888"/>
      <c r="H185" s="644"/>
      <c r="I185" s="603" t="str">
        <f>IF(SUMIFS('LAMPIRAN V DONE'!$F$74:$F$83,'LAMPIRAN V DONE'!$I$74:$I$83,"b. Sebagai anggota")=0,"",SUMIFS('LAMPIRAN V DONE'!$F$74:$F$83,'LAMPIRAN V DONE'!$I$74:$I$83,"b. Sebagai anggota"))</f>
        <v/>
      </c>
      <c r="J185" s="603" t="str">
        <f t="shared" si="18"/>
        <v/>
      </c>
      <c r="K185" s="604"/>
      <c r="L185" s="604"/>
      <c r="M185" s="604"/>
    </row>
    <row r="186" spans="1:13" s="581" customFormat="1" ht="19.5" customHeight="1" x14ac:dyDescent="0.45">
      <c r="A186" s="647"/>
      <c r="B186" s="634" t="s">
        <v>121</v>
      </c>
      <c r="C186" s="888" t="s">
        <v>746</v>
      </c>
      <c r="D186" s="888"/>
      <c r="E186" s="888"/>
      <c r="F186" s="888"/>
      <c r="G186" s="888"/>
      <c r="H186" s="644"/>
      <c r="I186" s="603"/>
      <c r="J186" s="603"/>
      <c r="K186" s="648"/>
      <c r="L186" s="648"/>
      <c r="M186" s="648"/>
    </row>
    <row r="187" spans="1:13" s="605" customFormat="1" ht="20.2" customHeight="1" x14ac:dyDescent="0.35">
      <c r="A187" s="632"/>
      <c r="B187" s="633"/>
      <c r="C187" s="671">
        <v>1</v>
      </c>
      <c r="D187" s="900" t="s">
        <v>747</v>
      </c>
      <c r="E187" s="900"/>
      <c r="F187" s="900"/>
      <c r="G187" s="900"/>
      <c r="H187" s="683"/>
      <c r="I187" s="603" t="str">
        <f>IF(SUMIFS('LAMPIRAN V DONE'!$F$86:$F$95,'LAMPIRAN V DONE'!$I$86:$I$95,"Editor/dewan penyunting/dewan redaksi jurnal ilmiah internasional")=0,"",SUMIFS('LAMPIRAN V DONE'!$F$86:$F$95,'LAMPIRAN V DONE'!$I$86:$I$95,"Editor/dewan penyunting/dewan redaksi jurnal ilmiah internasional"))</f>
        <v/>
      </c>
      <c r="J187" s="603" t="str">
        <f t="shared" ref="J187:J188" si="19">IF(I187=0,"",I187)</f>
        <v/>
      </c>
      <c r="K187" s="658"/>
      <c r="L187" s="658"/>
      <c r="M187" s="658"/>
    </row>
    <row r="188" spans="1:13" s="605" customFormat="1" ht="20.2" customHeight="1" x14ac:dyDescent="0.35">
      <c r="A188" s="655"/>
      <c r="B188" s="631"/>
      <c r="C188" s="675">
        <v>2</v>
      </c>
      <c r="D188" s="888" t="s">
        <v>748</v>
      </c>
      <c r="E188" s="888"/>
      <c r="F188" s="888"/>
      <c r="G188" s="888"/>
      <c r="H188" s="644"/>
      <c r="I188" s="603" t="str">
        <f>IF(SUMIFS('LAMPIRAN V DONE'!$F$86:$F$95,'LAMPIRAN V DONE'!$I$86:$I$95,"Editor/dewan penyunting/dewan redaksi jurnal ilmiah nasional")=0,"",SUMIFS('LAMPIRAN V DONE'!$F$86:$F$95,'LAMPIRAN V DONE'!$I$86:$I$95,"Editor/dewan penyunting/dewan redaksi jurnal ilmiah nasional"))</f>
        <v/>
      </c>
      <c r="J188" s="603" t="str">
        <f t="shared" si="19"/>
        <v/>
      </c>
      <c r="K188" s="604"/>
      <c r="L188" s="604"/>
      <c r="M188" s="604"/>
    </row>
    <row r="189" spans="1:13" s="605" customFormat="1" ht="20.2" customHeight="1" x14ac:dyDescent="0.35">
      <c r="A189" s="655"/>
      <c r="B189" s="634" t="s">
        <v>122</v>
      </c>
      <c r="C189" s="888" t="s">
        <v>749</v>
      </c>
      <c r="D189" s="888"/>
      <c r="E189" s="888"/>
      <c r="F189" s="888"/>
      <c r="G189" s="888"/>
      <c r="H189" s="644"/>
      <c r="I189" s="691"/>
      <c r="J189" s="603"/>
      <c r="K189" s="604"/>
      <c r="L189" s="604"/>
      <c r="M189" s="604"/>
    </row>
    <row r="190" spans="1:13" s="605" customFormat="1" ht="20.2" customHeight="1" x14ac:dyDescent="0.35">
      <c r="A190" s="655"/>
      <c r="B190" s="633"/>
      <c r="C190" s="671">
        <v>1</v>
      </c>
      <c r="D190" s="888" t="s">
        <v>750</v>
      </c>
      <c r="E190" s="888"/>
      <c r="F190" s="888"/>
      <c r="G190" s="888"/>
      <c r="H190" s="644"/>
      <c r="I190" s="691"/>
      <c r="J190" s="603"/>
      <c r="K190" s="604"/>
      <c r="L190" s="604"/>
      <c r="M190" s="604"/>
    </row>
    <row r="191" spans="1:13" s="605" customFormat="1" ht="20.2" customHeight="1" x14ac:dyDescent="0.35">
      <c r="A191" s="632"/>
      <c r="B191" s="633"/>
      <c r="C191" s="673"/>
      <c r="D191" s="636" t="s">
        <v>348</v>
      </c>
      <c r="E191" s="904" t="s">
        <v>453</v>
      </c>
      <c r="F191" s="905"/>
      <c r="G191" s="906"/>
      <c r="H191" s="644"/>
      <c r="I191" s="603" t="str">
        <f>IF(SUMIFS('LAMPIRAN V DONE'!$F$98:$F$107,'LAMPIRAN V DONE'!$I$98:$I$107,"a.1). Tingkat Internasional/Nasional/Regional sebagai Ketua, tiap kegiatan")=0,"",SUMIFS('LAMPIRAN V DONE'!$F$98:$F$107,'LAMPIRAN V DONE'!$I$98:$I$107,"a.1). Tingkat Internasional/Nasional/Regional sebagai Ketua, tiap kegiatan"))</f>
        <v/>
      </c>
      <c r="J191" s="603" t="str">
        <f t="shared" ref="J191:J192" si="20">IF(I191=0,"",I191)</f>
        <v/>
      </c>
      <c r="K191" s="604"/>
      <c r="L191" s="604"/>
      <c r="M191" s="604"/>
    </row>
    <row r="192" spans="1:13" s="605" customFormat="1" ht="20.2" customHeight="1" x14ac:dyDescent="0.35">
      <c r="A192" s="632"/>
      <c r="B192" s="633"/>
      <c r="C192" s="676"/>
      <c r="D192" s="636" t="s">
        <v>350</v>
      </c>
      <c r="E192" s="886" t="s">
        <v>440</v>
      </c>
      <c r="F192" s="886"/>
      <c r="G192" s="886"/>
      <c r="H192" s="644"/>
      <c r="I192" s="603">
        <f>IF(SUMIFS('LAMPIRAN V DONE'!$F$98:$F$107,'LAMPIRAN V DONE'!$I$98:$I$107,"a.2). Tingkat Internasional/Nasional/Regional sebagai Anggota/peserta, tiap kegiatan")=0,"",SUMIFS('LAMPIRAN V DONE'!$F$98:$F$107,'LAMPIRAN V DONE'!$I$98:$I$107,"a.2). Tingkat Internasional/Nasional/Regional sebagai Anggota/peserta, tiap kegiatan"))</f>
        <v>4</v>
      </c>
      <c r="J192" s="603">
        <f t="shared" si="20"/>
        <v>4</v>
      </c>
      <c r="K192" s="604"/>
      <c r="L192" s="604"/>
      <c r="M192" s="604"/>
    </row>
    <row r="193" spans="1:13" s="605" customFormat="1" ht="20.2" customHeight="1" x14ac:dyDescent="0.35">
      <c r="A193" s="643"/>
      <c r="B193" s="633"/>
      <c r="C193" s="671">
        <v>2</v>
      </c>
      <c r="D193" s="888" t="s">
        <v>751</v>
      </c>
      <c r="E193" s="888"/>
      <c r="F193" s="888"/>
      <c r="G193" s="888"/>
      <c r="H193" s="644"/>
      <c r="I193" s="613"/>
      <c r="J193" s="603"/>
      <c r="K193" s="604"/>
      <c r="L193" s="604"/>
      <c r="M193" s="604"/>
    </row>
    <row r="194" spans="1:13" s="605" customFormat="1" ht="20.2" customHeight="1" x14ac:dyDescent="0.35">
      <c r="A194" s="643"/>
      <c r="B194" s="633"/>
      <c r="C194" s="673"/>
      <c r="D194" s="636" t="s">
        <v>348</v>
      </c>
      <c r="E194" s="904" t="s">
        <v>453</v>
      </c>
      <c r="F194" s="905"/>
      <c r="G194" s="906"/>
      <c r="H194" s="644"/>
      <c r="I194" s="603" t="str">
        <f>IF(SUMIFS('LAMPIRAN V DONE'!$F$98:$F$107,'LAMPIRAN V DONE'!$I$98:$I$107,"b.1). Di Lingkungan Perguruan Tinggi sebagai Ketua, tiap kegiatan")=0,"",SUMIFS('LAMPIRAN V DONE'!$F$98:$F$107,'LAMPIRAN V DONE'!$I$98:$I$107,"b.1). Di Lingkungan Perguruan Tinggi sebagai Ketua, tiap kegiatan"))</f>
        <v/>
      </c>
      <c r="J194" s="603" t="str">
        <f t="shared" ref="J194:J195" si="21">IF(I194=0,"",I194)</f>
        <v/>
      </c>
      <c r="K194" s="604"/>
      <c r="L194" s="604"/>
      <c r="M194" s="604"/>
    </row>
    <row r="195" spans="1:13" s="605" customFormat="1" ht="20.2" customHeight="1" x14ac:dyDescent="0.35">
      <c r="A195" s="692"/>
      <c r="B195" s="631"/>
      <c r="C195" s="676"/>
      <c r="D195" s="636" t="s">
        <v>350</v>
      </c>
      <c r="E195" s="904" t="s">
        <v>440</v>
      </c>
      <c r="F195" s="905"/>
      <c r="G195" s="906"/>
      <c r="H195" s="644"/>
      <c r="I195" s="603" t="str">
        <f>IF(SUMIFS('LAMPIRAN V DONE'!$F$98:$F$107,'LAMPIRAN V DONE'!$I$98:$I$107,"b.2). Di Lingkungan Perguruan Tinggi sebagai Anggota/peserta, tiap kegiatan")=0,"",SUMIFS('LAMPIRAN V DONE'!$F$98:$F$107,'LAMPIRAN V DONE'!$I$98:$I$107,"b.2). Di Lingkungan Perguruan Tinggi sebagai Anggota/peserta, tiap kegiatan"))</f>
        <v/>
      </c>
      <c r="J195" s="603" t="str">
        <f t="shared" si="21"/>
        <v/>
      </c>
      <c r="K195" s="604"/>
      <c r="L195" s="604"/>
      <c r="M195" s="604"/>
    </row>
    <row r="196" spans="1:13" s="605" customFormat="1" ht="20.2" customHeight="1" x14ac:dyDescent="0.35">
      <c r="A196" s="907" t="s">
        <v>42</v>
      </c>
      <c r="B196" s="910" t="s">
        <v>332</v>
      </c>
      <c r="C196" s="910"/>
      <c r="D196" s="910"/>
      <c r="E196" s="910"/>
      <c r="F196" s="910"/>
      <c r="G196" s="910"/>
      <c r="H196" s="910"/>
      <c r="I196" s="910"/>
      <c r="J196" s="910"/>
      <c r="K196" s="910"/>
      <c r="L196" s="910"/>
      <c r="M196" s="910"/>
    </row>
    <row r="197" spans="1:13" s="605" customFormat="1" ht="20.2" customHeight="1" x14ac:dyDescent="0.35">
      <c r="A197" s="908"/>
      <c r="B197" s="908" t="s">
        <v>333</v>
      </c>
      <c r="C197" s="908"/>
      <c r="D197" s="908"/>
      <c r="E197" s="908"/>
      <c r="F197" s="908"/>
      <c r="G197" s="908"/>
      <c r="H197" s="911" t="s">
        <v>11</v>
      </c>
      <c r="I197" s="911"/>
      <c r="J197" s="911"/>
      <c r="K197" s="911"/>
      <c r="L197" s="911"/>
      <c r="M197" s="911"/>
    </row>
    <row r="198" spans="1:13" s="605" customFormat="1" ht="20.2" customHeight="1" x14ac:dyDescent="0.35">
      <c r="A198" s="908"/>
      <c r="B198" s="908"/>
      <c r="C198" s="908"/>
      <c r="D198" s="908"/>
      <c r="E198" s="908"/>
      <c r="F198" s="908"/>
      <c r="G198" s="908"/>
      <c r="H198" s="911" t="s">
        <v>334</v>
      </c>
      <c r="I198" s="911"/>
      <c r="J198" s="911"/>
      <c r="K198" s="911" t="s">
        <v>12</v>
      </c>
      <c r="L198" s="911"/>
      <c r="M198" s="911"/>
    </row>
    <row r="199" spans="1:13" s="605" customFormat="1" ht="20.2" customHeight="1" x14ac:dyDescent="0.35">
      <c r="A199" s="909"/>
      <c r="B199" s="909"/>
      <c r="C199" s="909"/>
      <c r="D199" s="909"/>
      <c r="E199" s="909"/>
      <c r="F199" s="909"/>
      <c r="G199" s="909"/>
      <c r="H199" s="592" t="s">
        <v>14</v>
      </c>
      <c r="I199" s="592" t="s">
        <v>13</v>
      </c>
      <c r="J199" s="592" t="s">
        <v>16</v>
      </c>
      <c r="K199" s="592" t="s">
        <v>14</v>
      </c>
      <c r="L199" s="592" t="s">
        <v>13</v>
      </c>
      <c r="M199" s="592" t="s">
        <v>16</v>
      </c>
    </row>
    <row r="200" spans="1:13" s="605" customFormat="1" ht="20.2" customHeight="1" x14ac:dyDescent="0.35">
      <c r="A200" s="586">
        <v>1</v>
      </c>
      <c r="B200" s="901">
        <v>2</v>
      </c>
      <c r="C200" s="902"/>
      <c r="D200" s="902"/>
      <c r="E200" s="902"/>
      <c r="F200" s="902"/>
      <c r="G200" s="903"/>
      <c r="H200" s="586">
        <v>3</v>
      </c>
      <c r="I200" s="586">
        <v>4</v>
      </c>
      <c r="J200" s="586">
        <v>5</v>
      </c>
      <c r="K200" s="586">
        <v>6</v>
      </c>
      <c r="L200" s="586">
        <v>7</v>
      </c>
      <c r="M200" s="586">
        <v>8</v>
      </c>
    </row>
    <row r="201" spans="1:13" s="605" customFormat="1" ht="20.2" customHeight="1" x14ac:dyDescent="0.35">
      <c r="A201" s="632"/>
      <c r="B201" s="673" t="s">
        <v>123</v>
      </c>
      <c r="C201" s="888" t="s">
        <v>752</v>
      </c>
      <c r="D201" s="888"/>
      <c r="E201" s="888"/>
      <c r="F201" s="888"/>
      <c r="G201" s="888"/>
      <c r="H201" s="644"/>
      <c r="I201" s="613"/>
      <c r="J201" s="603"/>
      <c r="K201" s="604"/>
      <c r="L201" s="604"/>
      <c r="M201" s="604"/>
    </row>
    <row r="202" spans="1:13" s="605" customFormat="1" ht="20.2" customHeight="1" x14ac:dyDescent="0.35">
      <c r="A202" s="632"/>
      <c r="B202" s="673"/>
      <c r="C202" s="623">
        <v>1</v>
      </c>
      <c r="D202" s="887" t="s">
        <v>753</v>
      </c>
      <c r="E202" s="887"/>
      <c r="F202" s="887"/>
      <c r="G202" s="887"/>
      <c r="H202" s="644"/>
      <c r="I202" s="613"/>
      <c r="J202" s="603"/>
      <c r="K202" s="604"/>
      <c r="L202" s="604"/>
      <c r="M202" s="604"/>
    </row>
    <row r="203" spans="1:13" s="605" customFormat="1" ht="20.2" customHeight="1" x14ac:dyDescent="0.35">
      <c r="A203" s="632"/>
      <c r="B203" s="633"/>
      <c r="C203" s="673"/>
      <c r="D203" s="636" t="s">
        <v>443</v>
      </c>
      <c r="E203" s="888" t="s">
        <v>754</v>
      </c>
      <c r="F203" s="888"/>
      <c r="G203" s="888"/>
      <c r="H203" s="644"/>
      <c r="I203" s="603" t="str">
        <f>IF(SUMIFS('LAMPIRAN V DONE'!$F$110:$F$119,'LAMPIRAN V DONE'!$I$110:$I$119,"a.Satya Lancana Karya Satya 30 thn")=0,"",SUMIFS('LAMPIRAN V DONE'!$F$110:$F$119,'LAMPIRAN V DONE'!$I$110:$I$119,"a.Satya Lancana Karya Satya 30 thn"))</f>
        <v/>
      </c>
      <c r="J203" s="603" t="str">
        <f t="shared" ref="J203:J205" si="22">IF(I203=0,"",I203)</f>
        <v/>
      </c>
      <c r="K203" s="604"/>
      <c r="L203" s="604"/>
      <c r="M203" s="604"/>
    </row>
    <row r="204" spans="1:13" s="605" customFormat="1" ht="20.2" customHeight="1" x14ac:dyDescent="0.35">
      <c r="A204" s="632"/>
      <c r="B204" s="673"/>
      <c r="C204" s="673"/>
      <c r="D204" s="636" t="s">
        <v>395</v>
      </c>
      <c r="E204" s="888" t="s">
        <v>755</v>
      </c>
      <c r="F204" s="888"/>
      <c r="G204" s="888"/>
      <c r="H204" s="644"/>
      <c r="I204" s="603" t="str">
        <f>IF(SUMIFS('LAMPIRAN V DONE'!$F$110:$F$119,'LAMPIRAN V DONE'!$I$110:$I$119,"b.Satya Lancana Karya Satya 20 thn")=0,"",SUMIFS('LAMPIRAN V DONE'!$F$110:$F$119,'LAMPIRAN V DONE'!$I$110:$I$119,"b.Satya Lancana Karya Satya 20 thn"))</f>
        <v/>
      </c>
      <c r="J204" s="603" t="str">
        <f t="shared" si="22"/>
        <v/>
      </c>
      <c r="K204" s="604"/>
      <c r="L204" s="604"/>
      <c r="M204" s="604"/>
    </row>
    <row r="205" spans="1:13" s="605" customFormat="1" ht="20.2" customHeight="1" x14ac:dyDescent="0.35">
      <c r="A205" s="632"/>
      <c r="B205" s="673"/>
      <c r="C205" s="676"/>
      <c r="D205" s="636" t="s">
        <v>446</v>
      </c>
      <c r="E205" s="888" t="s">
        <v>756</v>
      </c>
      <c r="F205" s="888"/>
      <c r="G205" s="888"/>
      <c r="H205" s="644"/>
      <c r="I205" s="603" t="str">
        <f>IF(SUMIFS('LAMPIRAN V DONE'!$F$110:$F$119,'LAMPIRAN V DONE'!$I$110:$I$119,"c.Satya Lancana Karya Satya 10 thn")=0,"",SUMIFS('LAMPIRAN V DONE'!$F$110:$F$119,'LAMPIRAN V DONE'!$I$110:$I$119,"c.Satya Lancana Karya Satya 10 thn"))</f>
        <v/>
      </c>
      <c r="J205" s="603" t="str">
        <f t="shared" si="22"/>
        <v/>
      </c>
      <c r="K205" s="604"/>
      <c r="L205" s="604"/>
      <c r="M205" s="604"/>
    </row>
    <row r="206" spans="1:13" s="605" customFormat="1" ht="20.2" customHeight="1" x14ac:dyDescent="0.35">
      <c r="A206" s="632"/>
      <c r="B206" s="673"/>
      <c r="C206" s="671">
        <v>2</v>
      </c>
      <c r="D206" s="888" t="s">
        <v>757</v>
      </c>
      <c r="E206" s="888"/>
      <c r="F206" s="888"/>
      <c r="G206" s="888"/>
      <c r="H206" s="644"/>
      <c r="I206" s="693"/>
      <c r="J206" s="603"/>
      <c r="K206" s="604"/>
      <c r="L206" s="604"/>
      <c r="M206" s="604"/>
    </row>
    <row r="207" spans="1:13" s="605" customFormat="1" ht="20.2" customHeight="1" x14ac:dyDescent="0.35">
      <c r="A207" s="632"/>
      <c r="B207" s="673"/>
      <c r="C207" s="673"/>
      <c r="D207" s="586" t="s">
        <v>348</v>
      </c>
      <c r="E207" s="886" t="s">
        <v>589</v>
      </c>
      <c r="F207" s="886"/>
      <c r="G207" s="886"/>
      <c r="H207" s="644"/>
      <c r="I207" s="603">
        <f>IF(SUMIFS('LAMPIRAN V DONE'!$F$110:$F$119,'LAMPIRAN V DONE'!$I$110:$I$119,"d.Penghargaan lainnya Tingkat Internasional")=0,"",SUMIFS('LAMPIRAN V DONE'!$F$110:$F$119,'LAMPIRAN V DONE'!$I$110:$I$119,"d.Penghargaan lainnya Tingkat Internasional"))</f>
        <v>10</v>
      </c>
      <c r="J207" s="603">
        <f t="shared" ref="J207:J209" si="23">IF(I207=0,"",I207)</f>
        <v>10</v>
      </c>
      <c r="K207" s="604"/>
      <c r="L207" s="604"/>
      <c r="M207" s="604"/>
    </row>
    <row r="208" spans="1:13" s="605" customFormat="1" ht="20.2" customHeight="1" x14ac:dyDescent="0.35">
      <c r="A208" s="632"/>
      <c r="B208" s="673"/>
      <c r="C208" s="673"/>
      <c r="D208" s="586" t="s">
        <v>395</v>
      </c>
      <c r="E208" s="886" t="s">
        <v>590</v>
      </c>
      <c r="F208" s="886"/>
      <c r="G208" s="886"/>
      <c r="H208" s="644"/>
      <c r="I208" s="603">
        <f>IF(SUMIFS('LAMPIRAN V DONE'!$F$110:$F$119,'LAMPIRAN V DONE'!$I$110:$I$119,"e.Penghargaan lainnya Tingkat Nasional")=0,"",SUMIFS('LAMPIRAN V DONE'!$F$110:$F$119,'LAMPIRAN V DONE'!$I$110:$I$119,"e.Penghargaan lainnya Tingkat Nasional"))</f>
        <v>3</v>
      </c>
      <c r="J208" s="603">
        <f t="shared" si="23"/>
        <v>3</v>
      </c>
      <c r="K208" s="604"/>
      <c r="L208" s="604"/>
      <c r="M208" s="604"/>
    </row>
    <row r="209" spans="1:14" s="605" customFormat="1" ht="20.2" customHeight="1" x14ac:dyDescent="0.35">
      <c r="A209" s="632"/>
      <c r="B209" s="676"/>
      <c r="C209" s="676"/>
      <c r="D209" s="586" t="s">
        <v>446</v>
      </c>
      <c r="E209" s="886" t="s">
        <v>758</v>
      </c>
      <c r="F209" s="886"/>
      <c r="G209" s="886"/>
      <c r="H209" s="644"/>
      <c r="I209" s="603" t="str">
        <f>IF(SUMIFS('LAMPIRAN V DONE'!$F$110:$F$119,'LAMPIRAN V DONE'!$I$110:$I$119,"f.Penghargaan lainnyaTingkat Daerah/Lokal")=0,"",SUMIFS('LAMPIRAN V DONE'!$F$110:$F$119,'LAMPIRAN V DONE'!$I$110:$I$119,"f.Penghargaan lainnyaTingkat Daerah/Lokal"))</f>
        <v/>
      </c>
      <c r="J209" s="603" t="str">
        <f t="shared" si="23"/>
        <v/>
      </c>
      <c r="K209" s="604"/>
      <c r="L209" s="604"/>
      <c r="M209" s="604"/>
    </row>
    <row r="210" spans="1:14" s="605" customFormat="1" ht="30.75" customHeight="1" x14ac:dyDescent="0.35">
      <c r="A210" s="632"/>
      <c r="B210" s="616" t="s">
        <v>2</v>
      </c>
      <c r="C210" s="887" t="s">
        <v>759</v>
      </c>
      <c r="D210" s="887"/>
      <c r="E210" s="887"/>
      <c r="F210" s="887"/>
      <c r="G210" s="887"/>
      <c r="H210" s="694"/>
      <c r="I210" s="613"/>
      <c r="J210" s="603"/>
      <c r="K210" s="604"/>
      <c r="L210" s="604"/>
      <c r="M210" s="604"/>
    </row>
    <row r="211" spans="1:14" s="605" customFormat="1" ht="20.2" customHeight="1" x14ac:dyDescent="0.35">
      <c r="A211" s="632"/>
      <c r="B211" s="633"/>
      <c r="C211" s="675">
        <v>1</v>
      </c>
      <c r="D211" s="888" t="s">
        <v>760</v>
      </c>
      <c r="E211" s="888"/>
      <c r="F211" s="888"/>
      <c r="G211" s="888"/>
      <c r="H211" s="694"/>
      <c r="I211" s="613" t="str">
        <f>IF(SUMIFS('LAMPIRAN V DONE'!$F$122:$F$131,'LAMPIRAN V DONE'!$I$122:$I$131,"a.Buku SMTA atau setingkat")=0,"",SUMIFS('LAMPIRAN V DONE'!$F$122:$F$131,'LAMPIRAN V DONE'!$I$122:$I$131,"a.Buku SMTA atau setingkat"))</f>
        <v/>
      </c>
      <c r="J211" s="603" t="str">
        <f t="shared" ref="J211:J213" si="24">IF(I211=0,"",I211)</f>
        <v/>
      </c>
      <c r="K211" s="604"/>
      <c r="L211" s="604"/>
      <c r="M211" s="604"/>
    </row>
    <row r="212" spans="1:14" s="605" customFormat="1" ht="20.2" customHeight="1" x14ac:dyDescent="0.35">
      <c r="A212" s="632"/>
      <c r="B212" s="633"/>
      <c r="C212" s="675">
        <v>2</v>
      </c>
      <c r="D212" s="888" t="s">
        <v>761</v>
      </c>
      <c r="E212" s="888"/>
      <c r="F212" s="888"/>
      <c r="G212" s="888"/>
      <c r="H212" s="644"/>
      <c r="I212" s="613" t="str">
        <f>IF(SUMIFS('LAMPIRAN V DONE'!$F$122:$F$131,'LAMPIRAN V DONE'!$I$122:$I$131,"b.Buku SMTP atau setingkat")=0,"",SUMIFS('LAMPIRAN V DONE'!$F$122:$F$131,'LAMPIRAN V DONE'!$I$122:$I$131,"b.Buku SMTP atau setingkat"))</f>
        <v/>
      </c>
      <c r="J212" s="603" t="str">
        <f t="shared" si="24"/>
        <v/>
      </c>
      <c r="K212" s="604"/>
      <c r="L212" s="604"/>
      <c r="M212" s="604"/>
    </row>
    <row r="213" spans="1:14" s="605" customFormat="1" ht="20.2" customHeight="1" x14ac:dyDescent="0.35">
      <c r="A213" s="632"/>
      <c r="B213" s="676"/>
      <c r="C213" s="675">
        <v>3</v>
      </c>
      <c r="D213" s="888" t="s">
        <v>762</v>
      </c>
      <c r="E213" s="888"/>
      <c r="F213" s="888"/>
      <c r="G213" s="888"/>
      <c r="H213" s="644"/>
      <c r="I213" s="613" t="str">
        <f>IF(SUMIFS('LAMPIRAN V DONE'!$F$122:$F$131,'LAMPIRAN V DONE'!$I$122:$I$131,"c.Buku SD atau setingkat")=0,"",SUMIFS('LAMPIRAN V DONE'!$F$122:$F$131,'LAMPIRAN V DONE'!$I$122:$I$131,"c.Buku SD atau setingkat"))</f>
        <v/>
      </c>
      <c r="J213" s="603" t="str">
        <f t="shared" si="24"/>
        <v/>
      </c>
      <c r="K213" s="604"/>
      <c r="L213" s="604"/>
      <c r="M213" s="604"/>
    </row>
    <row r="214" spans="1:14" s="605" customFormat="1" ht="20.2" customHeight="1" x14ac:dyDescent="0.35">
      <c r="A214" s="632"/>
      <c r="B214" s="671" t="s">
        <v>125</v>
      </c>
      <c r="C214" s="888" t="s">
        <v>763</v>
      </c>
      <c r="D214" s="888"/>
      <c r="E214" s="888"/>
      <c r="F214" s="888"/>
      <c r="G214" s="888"/>
      <c r="H214" s="644"/>
      <c r="I214" s="693"/>
      <c r="J214" s="603"/>
      <c r="K214" s="604"/>
      <c r="L214" s="604"/>
      <c r="M214" s="604"/>
    </row>
    <row r="215" spans="1:14" s="605" customFormat="1" ht="20.2" customHeight="1" x14ac:dyDescent="0.35">
      <c r="A215" s="632"/>
      <c r="B215" s="673"/>
      <c r="C215" s="675">
        <v>1</v>
      </c>
      <c r="D215" s="678" t="s">
        <v>589</v>
      </c>
      <c r="E215" s="678"/>
      <c r="F215" s="678"/>
      <c r="G215" s="678"/>
      <c r="H215" s="644"/>
      <c r="I215" s="613" t="str">
        <f>IF(SUMIFS('LAMPIRAN V DONE'!$F$134:$F$143,'LAMPIRAN V DONE'!$I$134:$I$143,"a.Tingkat Internasional tiap piagam/medali")=0,"",SUMIFS('LAMPIRAN V DONE'!$F$134:$F$143,'LAMPIRAN V DONE'!$I$134:$I$143,"a.Tingkat Internasional tiap piagam/medali"))</f>
        <v/>
      </c>
      <c r="J215" s="603" t="str">
        <f t="shared" ref="J215:J217" si="25">IF(I215=0,"",I215)</f>
        <v/>
      </c>
      <c r="K215" s="604"/>
      <c r="L215" s="604"/>
      <c r="M215" s="604"/>
    </row>
    <row r="216" spans="1:14" s="605" customFormat="1" ht="20.2" customHeight="1" x14ac:dyDescent="0.35">
      <c r="A216" s="632"/>
      <c r="B216" s="673"/>
      <c r="C216" s="675">
        <v>2</v>
      </c>
      <c r="D216" s="678" t="s">
        <v>590</v>
      </c>
      <c r="E216" s="678"/>
      <c r="F216" s="678"/>
      <c r="G216" s="604"/>
      <c r="H216" s="644"/>
      <c r="I216" s="613" t="str">
        <f>IF(SUMIFS('LAMPIRAN V DONE'!$F$134:$F$143,'LAMPIRAN V DONE'!$I$134:$I$143,"b.Tingkat Nasional tiap piagam/medali")=0,"",SUMIFS('LAMPIRAN V DONE'!$F$134:$F$143,'LAMPIRAN V DONE'!$I$134:$I$143,"b.Tingkat Nasional tiap piagam/medali"))</f>
        <v/>
      </c>
      <c r="J216" s="603" t="str">
        <f t="shared" si="25"/>
        <v/>
      </c>
      <c r="K216" s="604"/>
      <c r="L216" s="604"/>
      <c r="M216" s="604"/>
    </row>
    <row r="217" spans="1:14" s="605" customFormat="1" ht="20.2" customHeight="1" x14ac:dyDescent="0.35">
      <c r="A217" s="632"/>
      <c r="B217" s="676"/>
      <c r="C217" s="675">
        <v>3</v>
      </c>
      <c r="D217" s="678" t="s">
        <v>764</v>
      </c>
      <c r="E217" s="678"/>
      <c r="F217" s="678"/>
      <c r="G217" s="604"/>
      <c r="H217" s="644"/>
      <c r="I217" s="613" t="str">
        <f>IF(SUMIFS('LAMPIRAN V DONE'!$F$134:$F$143,'LAMPIRAN V DONE'!$I$134:$I$143,"c.Tingkat Daerah/Lokal tiap piagam/medali")=0,"",SUMIFS('LAMPIRAN V DONE'!$F$134:$F$143,'LAMPIRAN V DONE'!$I$134:$I$143,"c.Tingkat Daerah/Lokal tiap piagam/medali"))</f>
        <v/>
      </c>
      <c r="J217" s="603" t="str">
        <f t="shared" si="25"/>
        <v/>
      </c>
      <c r="K217" s="604"/>
      <c r="L217" s="604"/>
      <c r="M217" s="604"/>
    </row>
    <row r="218" spans="1:14" s="605" customFormat="1" ht="20.2" customHeight="1" x14ac:dyDescent="0.35">
      <c r="A218" s="637"/>
      <c r="B218" s="671" t="s">
        <v>124</v>
      </c>
      <c r="C218" s="888" t="s">
        <v>765</v>
      </c>
      <c r="D218" s="888"/>
      <c r="E218" s="888"/>
      <c r="F218" s="888"/>
      <c r="G218" s="888"/>
      <c r="H218" s="588"/>
      <c r="I218" s="586"/>
      <c r="J218" s="586"/>
      <c r="K218" s="586"/>
      <c r="L218" s="586"/>
      <c r="M218" s="586"/>
    </row>
    <row r="219" spans="1:14" s="605" customFormat="1" ht="22.5" customHeight="1" x14ac:dyDescent="0.35">
      <c r="A219" s="637"/>
      <c r="B219" s="673"/>
      <c r="C219" s="627"/>
      <c r="D219" s="899" t="s">
        <v>766</v>
      </c>
      <c r="E219" s="900"/>
      <c r="F219" s="900"/>
      <c r="G219" s="900"/>
      <c r="H219" s="587"/>
      <c r="I219" s="586" t="str">
        <f>IF('LAMPIRAN V DONE'!G156=0,"",'LAMPIRAN V DONE'!G156)</f>
        <v/>
      </c>
      <c r="J219" s="603" t="str">
        <f t="shared" ref="J219:J221" si="26">IF(I219=0,"",I219)</f>
        <v/>
      </c>
      <c r="K219" s="586"/>
      <c r="L219" s="586"/>
      <c r="M219" s="586"/>
    </row>
    <row r="220" spans="1:14" s="583" customFormat="1" ht="25.05" customHeight="1" x14ac:dyDescent="0.45">
      <c r="A220" s="870" t="s">
        <v>470</v>
      </c>
      <c r="B220" s="871"/>
      <c r="C220" s="871"/>
      <c r="D220" s="871"/>
      <c r="E220" s="871"/>
      <c r="F220" s="871"/>
      <c r="G220" s="872"/>
      <c r="H220" s="587"/>
      <c r="I220" s="695">
        <f>SUM(I201:I219,I161:I195)</f>
        <v>20</v>
      </c>
      <c r="J220" s="603">
        <f t="shared" si="26"/>
        <v>20</v>
      </c>
      <c r="K220" s="586"/>
      <c r="L220" s="586"/>
      <c r="M220" s="586"/>
    </row>
    <row r="221" spans="1:14" s="583" customFormat="1" ht="25.05" customHeight="1" x14ac:dyDescent="0.45">
      <c r="A221" s="870" t="s">
        <v>767</v>
      </c>
      <c r="B221" s="871"/>
      <c r="C221" s="871"/>
      <c r="D221" s="871"/>
      <c r="E221" s="871"/>
      <c r="F221" s="871"/>
      <c r="G221" s="872"/>
      <c r="H221" s="587"/>
      <c r="I221" s="789">
        <f>I160+I220</f>
        <v>164.33499999999998</v>
      </c>
      <c r="J221" s="784">
        <f t="shared" si="26"/>
        <v>164.33499999999998</v>
      </c>
      <c r="K221" s="586"/>
      <c r="L221" s="586"/>
      <c r="M221" s="586"/>
    </row>
    <row r="222" spans="1:14" s="605" customFormat="1" ht="15.75" customHeight="1" x14ac:dyDescent="0.35">
      <c r="A222" s="696"/>
      <c r="B222" s="697"/>
      <c r="C222" s="698"/>
      <c r="D222" s="698"/>
      <c r="E222" s="698"/>
      <c r="F222" s="698"/>
      <c r="G222" s="698"/>
      <c r="H222" s="580"/>
      <c r="I222" s="699"/>
      <c r="J222" s="700"/>
    </row>
    <row r="223" spans="1:14" s="584" customFormat="1" ht="30" customHeight="1" x14ac:dyDescent="0.35">
      <c r="A223" s="701" t="s">
        <v>32</v>
      </c>
      <c r="B223" s="702" t="s">
        <v>471</v>
      </c>
      <c r="C223" s="703"/>
      <c r="D223" s="704"/>
      <c r="E223" s="704"/>
      <c r="F223" s="704"/>
      <c r="G223" s="705"/>
      <c r="H223" s="705"/>
      <c r="I223" s="706"/>
      <c r="J223" s="589"/>
      <c r="K223" s="590"/>
      <c r="L223" s="590"/>
      <c r="M223" s="591"/>
      <c r="N223" s="585"/>
    </row>
    <row r="224" spans="1:14" s="583" customFormat="1" ht="21" customHeight="1" x14ac:dyDescent="0.45">
      <c r="A224" s="707"/>
      <c r="B224" s="708" t="s">
        <v>312</v>
      </c>
      <c r="C224" s="873" t="s">
        <v>768</v>
      </c>
      <c r="D224" s="873"/>
      <c r="E224" s="873"/>
      <c r="F224" s="873"/>
      <c r="G224" s="874"/>
      <c r="H224" s="709"/>
      <c r="I224" s="710"/>
      <c r="J224" s="711"/>
      <c r="K224" s="711"/>
      <c r="L224" s="711"/>
      <c r="M224" s="712"/>
      <c r="N224" s="585"/>
    </row>
    <row r="225" spans="1:19" s="583" customFormat="1" ht="21" customHeight="1" x14ac:dyDescent="0.45">
      <c r="A225" s="707"/>
      <c r="B225" s="708" t="s">
        <v>314</v>
      </c>
      <c r="C225" s="873" t="s">
        <v>769</v>
      </c>
      <c r="D225" s="873"/>
      <c r="E225" s="873"/>
      <c r="F225" s="873"/>
      <c r="G225" s="874"/>
      <c r="H225" s="713"/>
      <c r="I225" s="713"/>
      <c r="J225" s="582"/>
      <c r="K225" s="585"/>
      <c r="L225" s="585"/>
      <c r="M225" s="714"/>
      <c r="N225" s="585"/>
    </row>
    <row r="226" spans="1:19" s="583" customFormat="1" ht="21" customHeight="1" x14ac:dyDescent="0.45">
      <c r="A226" s="707"/>
      <c r="B226" s="708">
        <v>3</v>
      </c>
      <c r="C226" s="873" t="s">
        <v>770</v>
      </c>
      <c r="D226" s="873"/>
      <c r="E226" s="873"/>
      <c r="F226" s="873"/>
      <c r="G226" s="874"/>
      <c r="H226" s="713"/>
      <c r="I226" s="713"/>
      <c r="J226" s="582"/>
      <c r="K226" s="585"/>
      <c r="L226" s="585"/>
      <c r="M226" s="714"/>
      <c r="N226" s="585"/>
    </row>
    <row r="227" spans="1:19" s="584" customFormat="1" ht="31.5" customHeight="1" x14ac:dyDescent="0.35">
      <c r="A227" s="715"/>
      <c r="B227" s="716">
        <v>4</v>
      </c>
      <c r="C227" s="875" t="s">
        <v>771</v>
      </c>
      <c r="D227" s="875"/>
      <c r="E227" s="875"/>
      <c r="F227" s="875"/>
      <c r="G227" s="876"/>
      <c r="H227" s="717"/>
      <c r="I227" s="717"/>
      <c r="J227" s="718"/>
      <c r="K227" s="719"/>
      <c r="L227" s="719"/>
      <c r="M227" s="720"/>
      <c r="N227" s="719"/>
    </row>
    <row r="228" spans="1:19" s="583" customFormat="1" ht="21" customHeight="1" x14ac:dyDescent="0.45">
      <c r="A228" s="707"/>
      <c r="B228" s="708">
        <v>5</v>
      </c>
      <c r="C228" s="585" t="s">
        <v>772</v>
      </c>
      <c r="D228" s="721"/>
      <c r="E228" s="721"/>
      <c r="F228" s="721"/>
      <c r="G228" s="713"/>
      <c r="H228" s="722"/>
      <c r="I228" s="723"/>
      <c r="J228" s="582"/>
      <c r="K228" s="585"/>
      <c r="L228" s="585"/>
      <c r="M228" s="714"/>
      <c r="N228" s="585"/>
    </row>
    <row r="229" spans="1:19" s="584" customFormat="1" ht="20.2" customHeight="1" x14ac:dyDescent="0.35">
      <c r="A229" s="715"/>
      <c r="B229" s="716"/>
      <c r="C229" s="724"/>
      <c r="D229" s="725"/>
      <c r="E229" s="725"/>
      <c r="F229" s="725"/>
      <c r="G229" s="717"/>
      <c r="H229" s="883" t="str">
        <f>"Ketua Program Studi "&amp;F22</f>
        <v>Ketua Program Studi D3 Teknik Komputer Fakultas Ilmu Terapan</v>
      </c>
      <c r="I229" s="884"/>
      <c r="J229" s="884"/>
      <c r="K229" s="884"/>
      <c r="L229" s="884"/>
      <c r="M229" s="885"/>
      <c r="N229" s="719"/>
      <c r="O229" s="861" t="s">
        <v>781</v>
      </c>
      <c r="P229" s="861"/>
      <c r="Q229" s="861"/>
      <c r="R229" s="861"/>
      <c r="S229" s="861"/>
    </row>
    <row r="230" spans="1:19" s="584" customFormat="1" ht="20.2" customHeight="1" x14ac:dyDescent="0.35">
      <c r="A230" s="715"/>
      <c r="B230" s="716"/>
      <c r="C230" s="724"/>
      <c r="D230" s="725"/>
      <c r="E230" s="725"/>
      <c r="F230" s="725"/>
      <c r="G230" s="717"/>
      <c r="H230" s="883"/>
      <c r="I230" s="884"/>
      <c r="J230" s="884"/>
      <c r="K230" s="884"/>
      <c r="L230" s="884"/>
      <c r="M230" s="885"/>
      <c r="N230" s="719"/>
      <c r="O230" s="861"/>
      <c r="P230" s="861"/>
      <c r="Q230" s="861"/>
      <c r="R230" s="861"/>
      <c r="S230" s="861"/>
    </row>
    <row r="231" spans="1:19" s="584" customFormat="1" ht="20.2" customHeight="1" x14ac:dyDescent="0.35">
      <c r="A231" s="715"/>
      <c r="B231" s="716"/>
      <c r="C231" s="724"/>
      <c r="D231" s="725"/>
      <c r="E231" s="725"/>
      <c r="F231" s="725"/>
      <c r="G231" s="717"/>
      <c r="H231" s="722"/>
      <c r="I231" s="726"/>
      <c r="J231" s="582"/>
      <c r="K231" s="726"/>
      <c r="L231" s="585"/>
      <c r="M231" s="727"/>
      <c r="N231" s="719"/>
      <c r="O231" s="861"/>
      <c r="P231" s="861"/>
      <c r="Q231" s="861"/>
      <c r="R231" s="861"/>
      <c r="S231" s="861"/>
    </row>
    <row r="232" spans="1:19" s="584" customFormat="1" ht="20.2" customHeight="1" x14ac:dyDescent="0.35">
      <c r="A232" s="715"/>
      <c r="B232" s="728"/>
      <c r="C232" s="717"/>
      <c r="D232" s="725"/>
      <c r="E232" s="725"/>
      <c r="F232" s="725"/>
      <c r="G232" s="717"/>
      <c r="H232" s="722"/>
      <c r="I232" s="585"/>
      <c r="J232" s="582"/>
      <c r="K232" s="726"/>
      <c r="L232" s="585"/>
      <c r="M232" s="714"/>
      <c r="N232" s="719"/>
    </row>
    <row r="233" spans="1:19" s="584" customFormat="1" ht="20.2" customHeight="1" x14ac:dyDescent="0.35">
      <c r="A233" s="715"/>
      <c r="B233" s="728"/>
      <c r="C233" s="717"/>
      <c r="D233" s="725"/>
      <c r="E233" s="725"/>
      <c r="F233" s="725"/>
      <c r="G233" s="717"/>
      <c r="H233" s="877" t="str">
        <f>IF('LAMPIRAN II DONE'!$C$11=0,"",'LAMPIRAN II DONE'!$C$11)</f>
        <v>Setia Juli Irzal Ismail</v>
      </c>
      <c r="I233" s="878"/>
      <c r="J233" s="878"/>
      <c r="K233" s="878"/>
      <c r="L233" s="878"/>
      <c r="M233" s="879"/>
      <c r="N233" s="719"/>
      <c r="O233" s="861" t="s">
        <v>780</v>
      </c>
      <c r="P233" s="861"/>
      <c r="Q233" s="861"/>
      <c r="R233" s="861"/>
      <c r="S233" s="861"/>
    </row>
    <row r="234" spans="1:19" s="584" customFormat="1" ht="20.2" customHeight="1" x14ac:dyDescent="0.35">
      <c r="A234" s="715"/>
      <c r="B234" s="728"/>
      <c r="C234" s="717"/>
      <c r="D234" s="725"/>
      <c r="E234" s="725"/>
      <c r="F234" s="725"/>
      <c r="G234" s="717"/>
      <c r="H234" s="880" t="str">
        <f>"NIK"&amp;". "&amp;IF('LAMPIRAN II DONE'!C12=0,"",'LAMPIRAN II DONE'!C12)</f>
        <v>NIK. 15780038</v>
      </c>
      <c r="I234" s="881"/>
      <c r="J234" s="881"/>
      <c r="K234" s="881"/>
      <c r="L234" s="881"/>
      <c r="M234" s="882"/>
      <c r="N234" s="719"/>
      <c r="O234" s="861"/>
      <c r="P234" s="861"/>
      <c r="Q234" s="861"/>
      <c r="R234" s="861"/>
      <c r="S234" s="861"/>
    </row>
    <row r="235" spans="1:19" s="584" customFormat="1" ht="20.2" customHeight="1" x14ac:dyDescent="0.35">
      <c r="A235" s="729"/>
      <c r="B235" s="730"/>
      <c r="C235" s="731"/>
      <c r="D235" s="732"/>
      <c r="E235" s="732"/>
      <c r="F235" s="732"/>
      <c r="G235" s="731"/>
      <c r="H235" s="733"/>
      <c r="I235" s="734"/>
      <c r="J235" s="735"/>
      <c r="K235" s="736"/>
      <c r="L235" s="736"/>
      <c r="M235" s="737"/>
      <c r="N235" s="719"/>
    </row>
    <row r="236" spans="1:19" s="748" customFormat="1" ht="30" customHeight="1" x14ac:dyDescent="0.4">
      <c r="A236" s="738" t="s">
        <v>33</v>
      </c>
      <c r="B236" s="739" t="s">
        <v>478</v>
      </c>
      <c r="C236" s="740"/>
      <c r="D236" s="741"/>
      <c r="E236" s="741"/>
      <c r="F236" s="741"/>
      <c r="G236" s="742"/>
      <c r="H236" s="742"/>
      <c r="I236" s="743"/>
      <c r="J236" s="744"/>
      <c r="K236" s="745"/>
      <c r="L236" s="745"/>
      <c r="M236" s="746"/>
      <c r="N236" s="747"/>
    </row>
    <row r="237" spans="1:19" s="584" customFormat="1" ht="20.2" customHeight="1" x14ac:dyDescent="0.35">
      <c r="A237" s="715"/>
      <c r="B237" s="708"/>
      <c r="C237" s="749"/>
      <c r="D237" s="725"/>
      <c r="E237" s="725"/>
      <c r="F237" s="725"/>
      <c r="G237" s="717"/>
      <c r="H237" s="750"/>
      <c r="I237" s="751"/>
      <c r="J237" s="718"/>
      <c r="K237" s="719"/>
      <c r="L237" s="719"/>
      <c r="M237" s="720"/>
      <c r="N237" s="719"/>
    </row>
    <row r="238" spans="1:19" s="584" customFormat="1" ht="20.2" customHeight="1" x14ac:dyDescent="0.35">
      <c r="A238" s="715"/>
      <c r="B238" s="708"/>
      <c r="C238" s="749"/>
      <c r="D238" s="725"/>
      <c r="E238" s="725"/>
      <c r="F238" s="725"/>
      <c r="G238" s="717"/>
      <c r="H238" s="750"/>
      <c r="I238" s="751"/>
      <c r="J238" s="718"/>
      <c r="K238" s="719"/>
      <c r="L238" s="719"/>
      <c r="M238" s="720"/>
      <c r="N238" s="719"/>
    </row>
    <row r="239" spans="1:19" s="583" customFormat="1" ht="20.2" customHeight="1" x14ac:dyDescent="0.45">
      <c r="A239" s="715"/>
      <c r="B239" s="708"/>
      <c r="C239" s="749"/>
      <c r="D239" s="725"/>
      <c r="E239" s="725"/>
      <c r="F239" s="725"/>
      <c r="G239" s="717"/>
      <c r="H239" s="750"/>
      <c r="I239" s="751"/>
      <c r="J239" s="718"/>
      <c r="K239" s="719"/>
      <c r="L239" s="719"/>
      <c r="M239" s="720"/>
      <c r="N239" s="719"/>
    </row>
    <row r="240" spans="1:19" s="584" customFormat="1" ht="20.2" customHeight="1" x14ac:dyDescent="0.35">
      <c r="A240" s="715"/>
      <c r="B240" s="708"/>
      <c r="C240" s="721"/>
      <c r="D240" s="725"/>
      <c r="E240" s="725"/>
      <c r="F240" s="725"/>
      <c r="G240" s="717"/>
      <c r="H240" s="750"/>
      <c r="I240" s="751"/>
      <c r="J240" s="718"/>
      <c r="K240" s="719"/>
      <c r="L240" s="719"/>
      <c r="M240" s="720"/>
      <c r="N240" s="719"/>
    </row>
    <row r="241" spans="1:25" s="584" customFormat="1" ht="20.2" customHeight="1" x14ac:dyDescent="0.35">
      <c r="A241" s="715"/>
      <c r="B241" s="728"/>
      <c r="C241" s="717"/>
      <c r="D241" s="725"/>
      <c r="E241" s="725"/>
      <c r="F241" s="725"/>
      <c r="G241" s="717"/>
      <c r="H241" s="722"/>
      <c r="I241" s="723"/>
      <c r="J241" s="582"/>
      <c r="K241" s="585"/>
      <c r="L241" s="585"/>
      <c r="M241" s="714"/>
      <c r="N241" s="719"/>
    </row>
    <row r="242" spans="1:25" s="584" customFormat="1" ht="20.2" customHeight="1" x14ac:dyDescent="0.45">
      <c r="A242" s="715"/>
      <c r="B242" s="728"/>
      <c r="C242" s="717"/>
      <c r="D242" s="725"/>
      <c r="E242" s="725"/>
      <c r="F242" s="725"/>
      <c r="G242" s="717"/>
      <c r="H242" s="877" t="s">
        <v>777</v>
      </c>
      <c r="I242" s="878"/>
      <c r="J242" s="878"/>
      <c r="K242" s="878"/>
      <c r="L242" s="878"/>
      <c r="M242" s="879"/>
      <c r="N242" s="752"/>
      <c r="P242" s="560" t="s">
        <v>618</v>
      </c>
      <c r="Q242" s="897" t="s">
        <v>809</v>
      </c>
      <c r="R242" s="897"/>
      <c r="S242" s="897"/>
      <c r="T242" s="897"/>
      <c r="U242" s="897"/>
      <c r="V242" s="897"/>
      <c r="W242" s="897"/>
      <c r="X242" s="897"/>
      <c r="Y242" s="897"/>
    </row>
    <row r="243" spans="1:25" s="584" customFormat="1" ht="20.2" customHeight="1" x14ac:dyDescent="0.45">
      <c r="A243" s="715"/>
      <c r="B243" s="728"/>
      <c r="C243" s="717"/>
      <c r="D243" s="725"/>
      <c r="E243" s="725"/>
      <c r="F243" s="725"/>
      <c r="G243" s="717"/>
      <c r="H243" s="722"/>
      <c r="I243" s="753"/>
      <c r="J243" s="753"/>
      <c r="K243" s="753"/>
      <c r="L243" s="753"/>
      <c r="M243" s="727"/>
      <c r="N243" s="752"/>
      <c r="P243" s="561"/>
      <c r="Q243" s="897"/>
      <c r="R243" s="897"/>
      <c r="S243" s="897"/>
      <c r="T243" s="897"/>
      <c r="U243" s="897"/>
      <c r="V243" s="897"/>
      <c r="W243" s="897"/>
      <c r="X243" s="897"/>
      <c r="Y243" s="897"/>
    </row>
    <row r="244" spans="1:25" s="584" customFormat="1" ht="20.2" customHeight="1" x14ac:dyDescent="0.45">
      <c r="A244" s="715"/>
      <c r="B244" s="728"/>
      <c r="C244" s="717"/>
      <c r="D244" s="725"/>
      <c r="E244" s="725"/>
      <c r="F244" s="725"/>
      <c r="G244" s="717"/>
      <c r="H244" s="722"/>
      <c r="I244" s="753"/>
      <c r="J244" s="753"/>
      <c r="K244" s="753"/>
      <c r="L244" s="753"/>
      <c r="M244" s="727"/>
      <c r="N244" s="752"/>
      <c r="P244" s="561"/>
      <c r="Q244" s="897"/>
      <c r="R244" s="897"/>
      <c r="S244" s="897"/>
      <c r="T244" s="897"/>
      <c r="U244" s="897"/>
      <c r="V244" s="897"/>
      <c r="W244" s="897"/>
      <c r="X244" s="897"/>
      <c r="Y244" s="897"/>
    </row>
    <row r="245" spans="1:25" s="584" customFormat="1" ht="20.2" customHeight="1" x14ac:dyDescent="0.45">
      <c r="A245" s="715"/>
      <c r="B245" s="728"/>
      <c r="C245" s="717"/>
      <c r="D245" s="725"/>
      <c r="E245" s="725"/>
      <c r="F245" s="725"/>
      <c r="G245" s="717"/>
      <c r="H245" s="722"/>
      <c r="I245" s="585"/>
      <c r="J245" s="582"/>
      <c r="K245" s="726"/>
      <c r="L245" s="585"/>
      <c r="M245" s="714"/>
      <c r="N245" s="719"/>
      <c r="P245" s="561"/>
      <c r="Q245" s="897" t="s">
        <v>619</v>
      </c>
      <c r="R245" s="897"/>
      <c r="S245" s="897"/>
      <c r="T245" s="897"/>
      <c r="U245" s="897"/>
      <c r="V245" s="897"/>
      <c r="W245" s="897"/>
      <c r="X245" s="897"/>
      <c r="Y245" s="897"/>
    </row>
    <row r="246" spans="1:25" s="584" customFormat="1" ht="20.2" customHeight="1" x14ac:dyDescent="0.45">
      <c r="A246" s="715"/>
      <c r="B246" s="728"/>
      <c r="C246" s="717"/>
      <c r="D246" s="725"/>
      <c r="E246" s="725"/>
      <c r="F246" s="725"/>
      <c r="G246" s="717"/>
      <c r="H246" s="877" t="s">
        <v>778</v>
      </c>
      <c r="I246" s="878"/>
      <c r="J246" s="878"/>
      <c r="K246" s="878"/>
      <c r="L246" s="878"/>
      <c r="M246" s="879"/>
      <c r="N246" s="752"/>
      <c r="P246" s="561"/>
      <c r="Q246" s="897"/>
      <c r="R246" s="897"/>
      <c r="S246" s="897"/>
      <c r="T246" s="897"/>
      <c r="U246" s="897"/>
      <c r="V246" s="897"/>
      <c r="W246" s="897"/>
      <c r="X246" s="897"/>
      <c r="Y246" s="897"/>
    </row>
    <row r="247" spans="1:25" s="584" customFormat="1" ht="20.2" customHeight="1" x14ac:dyDescent="0.45">
      <c r="A247" s="715"/>
      <c r="B247" s="728"/>
      <c r="C247" s="717"/>
      <c r="D247" s="725"/>
      <c r="E247" s="725"/>
      <c r="F247" s="725"/>
      <c r="G247" s="717"/>
      <c r="H247" s="880" t="s">
        <v>779</v>
      </c>
      <c r="I247" s="881"/>
      <c r="J247" s="881"/>
      <c r="K247" s="881"/>
      <c r="L247" s="881"/>
      <c r="M247" s="882"/>
      <c r="N247" s="719"/>
      <c r="P247" s="561"/>
      <c r="Q247" s="897"/>
      <c r="R247" s="897"/>
      <c r="S247" s="897"/>
      <c r="T247" s="897"/>
      <c r="U247" s="897"/>
      <c r="V247" s="897"/>
      <c r="W247" s="897"/>
      <c r="X247" s="897"/>
      <c r="Y247" s="897"/>
    </row>
    <row r="248" spans="1:25" s="584" customFormat="1" ht="20.2" customHeight="1" x14ac:dyDescent="0.35">
      <c r="A248" s="729"/>
      <c r="B248" s="730"/>
      <c r="C248" s="731"/>
      <c r="D248" s="732"/>
      <c r="E248" s="732"/>
      <c r="F248" s="732"/>
      <c r="G248" s="731"/>
      <c r="H248" s="733"/>
      <c r="I248" s="734"/>
      <c r="J248" s="735"/>
      <c r="K248" s="754"/>
      <c r="L248" s="736"/>
      <c r="M248" s="737"/>
      <c r="N248" s="719"/>
    </row>
    <row r="249" spans="1:25" s="748" customFormat="1" ht="30" customHeight="1" x14ac:dyDescent="0.4">
      <c r="A249" s="701" t="s">
        <v>135</v>
      </c>
      <c r="B249" s="702" t="s">
        <v>484</v>
      </c>
      <c r="C249" s="755"/>
      <c r="D249" s="756"/>
      <c r="E249" s="756"/>
      <c r="F249" s="756"/>
      <c r="G249" s="757"/>
      <c r="H249" s="757"/>
      <c r="I249" s="758"/>
      <c r="J249" s="759"/>
      <c r="K249" s="760"/>
      <c r="L249" s="760"/>
      <c r="M249" s="761"/>
      <c r="N249" s="747"/>
    </row>
    <row r="250" spans="1:25" s="584" customFormat="1" ht="20.2" customHeight="1" x14ac:dyDescent="0.35">
      <c r="A250" s="715"/>
      <c r="B250" s="708"/>
      <c r="C250" s="891"/>
      <c r="D250" s="892"/>
      <c r="E250" s="892"/>
      <c r="F250" s="892"/>
      <c r="G250" s="717"/>
      <c r="H250" s="750"/>
      <c r="I250" s="751"/>
      <c r="J250" s="718"/>
      <c r="K250" s="719"/>
      <c r="L250" s="719"/>
      <c r="M250" s="720"/>
      <c r="N250" s="719"/>
    </row>
    <row r="251" spans="1:25" s="584" customFormat="1" ht="20.2" customHeight="1" x14ac:dyDescent="0.35">
      <c r="A251" s="715"/>
      <c r="B251" s="708"/>
      <c r="C251" s="893"/>
      <c r="D251" s="894"/>
      <c r="E251" s="894"/>
      <c r="F251" s="894"/>
      <c r="G251" s="717"/>
      <c r="H251" s="750"/>
      <c r="I251" s="898" t="s">
        <v>773</v>
      </c>
      <c r="J251" s="898"/>
      <c r="K251" s="898"/>
      <c r="L251" s="898"/>
      <c r="M251" s="720"/>
      <c r="N251" s="719"/>
    </row>
    <row r="252" spans="1:25" s="584" customFormat="1" ht="20.2" customHeight="1" x14ac:dyDescent="0.35">
      <c r="A252" s="715"/>
      <c r="B252" s="708"/>
      <c r="C252" s="893"/>
      <c r="D252" s="894"/>
      <c r="E252" s="894"/>
      <c r="F252" s="894"/>
      <c r="G252" s="717"/>
      <c r="H252" s="750"/>
      <c r="I252" s="723"/>
      <c r="J252" s="582"/>
      <c r="K252" s="585"/>
      <c r="L252" s="585"/>
      <c r="M252" s="720"/>
      <c r="N252" s="719"/>
    </row>
    <row r="253" spans="1:25" s="584" customFormat="1" ht="20.2" customHeight="1" x14ac:dyDescent="0.35">
      <c r="A253" s="715"/>
      <c r="B253" s="708"/>
      <c r="C253" s="721"/>
      <c r="D253" s="719"/>
      <c r="E253" s="719"/>
      <c r="F253" s="719"/>
      <c r="G253" s="719"/>
      <c r="H253" s="762"/>
      <c r="I253" s="889"/>
      <c r="J253" s="889"/>
      <c r="K253" s="889"/>
      <c r="L253" s="889"/>
      <c r="M253" s="720"/>
      <c r="N253" s="719"/>
    </row>
    <row r="254" spans="1:25" s="584" customFormat="1" ht="20.2" customHeight="1" x14ac:dyDescent="0.35">
      <c r="A254" s="715"/>
      <c r="B254" s="719"/>
      <c r="C254" s="719"/>
      <c r="D254" s="719"/>
      <c r="E254" s="719"/>
      <c r="F254" s="719"/>
      <c r="G254" s="719"/>
      <c r="H254" s="762"/>
      <c r="I254" s="890"/>
      <c r="J254" s="890"/>
      <c r="K254" s="890"/>
      <c r="L254" s="890"/>
      <c r="M254" s="720"/>
      <c r="N254" s="719"/>
    </row>
    <row r="255" spans="1:25" s="584" customFormat="1" ht="20.2" customHeight="1" x14ac:dyDescent="0.35">
      <c r="A255" s="715"/>
      <c r="B255" s="728"/>
      <c r="C255" s="763"/>
      <c r="D255" s="725"/>
      <c r="E255" s="725"/>
      <c r="F255" s="725"/>
      <c r="G255" s="717"/>
      <c r="H255" s="750"/>
      <c r="I255" s="585" t="s">
        <v>774</v>
      </c>
      <c r="J255" s="582"/>
      <c r="K255" s="585"/>
      <c r="L255" s="585"/>
      <c r="M255" s="720"/>
      <c r="N255" s="719"/>
    </row>
    <row r="256" spans="1:25" s="584" customFormat="1" ht="20.2" customHeight="1" x14ac:dyDescent="0.35">
      <c r="A256" s="715"/>
      <c r="B256" s="728"/>
      <c r="C256" s="763"/>
      <c r="D256" s="725"/>
      <c r="E256" s="725"/>
      <c r="F256" s="725"/>
      <c r="G256" s="717"/>
      <c r="H256" s="750"/>
      <c r="I256" s="583"/>
      <c r="J256" s="583"/>
      <c r="K256" s="583"/>
      <c r="L256" s="583"/>
      <c r="M256" s="764"/>
      <c r="N256" s="752"/>
    </row>
    <row r="257" spans="1:14" s="584" customFormat="1" ht="20.2" customHeight="1" x14ac:dyDescent="0.35">
      <c r="A257" s="715"/>
      <c r="B257" s="728"/>
      <c r="C257" s="717"/>
      <c r="D257" s="725"/>
      <c r="E257" s="725"/>
      <c r="F257" s="725"/>
      <c r="G257" s="717"/>
      <c r="H257" s="750"/>
      <c r="I257" s="898" t="s">
        <v>775</v>
      </c>
      <c r="J257" s="898"/>
      <c r="K257" s="898"/>
      <c r="L257" s="898"/>
      <c r="M257" s="720"/>
      <c r="N257" s="719"/>
    </row>
    <row r="258" spans="1:14" s="584" customFormat="1" ht="20.2" customHeight="1" x14ac:dyDescent="0.35">
      <c r="A258" s="715"/>
      <c r="B258" s="728"/>
      <c r="C258" s="717"/>
      <c r="D258" s="725"/>
      <c r="E258" s="725"/>
      <c r="F258" s="725"/>
      <c r="G258" s="717"/>
      <c r="H258" s="750"/>
      <c r="I258" s="889"/>
      <c r="J258" s="889"/>
      <c r="K258" s="889"/>
      <c r="L258" s="889"/>
      <c r="M258" s="720"/>
      <c r="N258" s="719"/>
    </row>
    <row r="259" spans="1:14" s="584" customFormat="1" ht="20.2" customHeight="1" x14ac:dyDescent="0.35">
      <c r="A259" s="715"/>
      <c r="B259" s="728"/>
      <c r="C259" s="717"/>
      <c r="D259" s="725"/>
      <c r="E259" s="725"/>
      <c r="F259" s="725"/>
      <c r="G259" s="717"/>
      <c r="H259" s="750"/>
      <c r="I259" s="726"/>
      <c r="J259" s="582"/>
      <c r="K259" s="726"/>
      <c r="L259" s="585"/>
      <c r="M259" s="764"/>
      <c r="N259" s="719"/>
    </row>
    <row r="260" spans="1:14" s="584" customFormat="1" ht="21" customHeight="1" x14ac:dyDescent="0.35">
      <c r="A260" s="715"/>
      <c r="B260" s="728"/>
      <c r="C260" s="717"/>
      <c r="D260" s="725"/>
      <c r="E260" s="725"/>
      <c r="F260" s="725"/>
      <c r="G260" s="717"/>
      <c r="H260" s="750"/>
      <c r="I260" s="890"/>
      <c r="J260" s="890"/>
      <c r="K260" s="890"/>
      <c r="L260" s="890"/>
      <c r="M260" s="720"/>
      <c r="N260" s="719"/>
    </row>
    <row r="261" spans="1:14" s="584" customFormat="1" ht="20.2" customHeight="1" x14ac:dyDescent="0.35">
      <c r="A261" s="715"/>
      <c r="B261" s="728"/>
      <c r="C261" s="717"/>
      <c r="D261" s="725"/>
      <c r="E261" s="725"/>
      <c r="F261" s="725"/>
      <c r="G261" s="717"/>
      <c r="H261" s="750"/>
      <c r="I261" s="585" t="s">
        <v>774</v>
      </c>
      <c r="J261" s="582"/>
      <c r="K261" s="585"/>
      <c r="L261" s="585"/>
      <c r="M261" s="720"/>
      <c r="N261" s="719"/>
    </row>
    <row r="262" spans="1:14" s="584" customFormat="1" ht="19.5" customHeight="1" x14ac:dyDescent="0.35">
      <c r="A262" s="715"/>
      <c r="B262" s="728"/>
      <c r="C262" s="717"/>
      <c r="D262" s="725"/>
      <c r="E262" s="725"/>
      <c r="F262" s="725"/>
      <c r="G262" s="717"/>
      <c r="H262" s="750"/>
      <c r="I262" s="724"/>
      <c r="J262" s="724"/>
      <c r="K262" s="724"/>
      <c r="L262" s="724"/>
      <c r="M262" s="764"/>
      <c r="N262" s="752"/>
    </row>
    <row r="263" spans="1:14" s="584" customFormat="1" ht="20.2" customHeight="1" x14ac:dyDescent="0.35">
      <c r="A263" s="729"/>
      <c r="B263" s="730"/>
      <c r="C263" s="731"/>
      <c r="D263" s="732"/>
      <c r="E263" s="732"/>
      <c r="F263" s="732"/>
      <c r="G263" s="731"/>
      <c r="H263" s="733"/>
      <c r="I263" s="754"/>
      <c r="J263" s="754"/>
      <c r="K263" s="754"/>
      <c r="L263" s="754"/>
      <c r="M263" s="737"/>
      <c r="N263" s="719"/>
    </row>
    <row r="264" spans="1:14" s="748" customFormat="1" ht="30" customHeight="1" x14ac:dyDescent="0.4">
      <c r="A264" s="738" t="s">
        <v>432</v>
      </c>
      <c r="B264" s="739" t="s">
        <v>487</v>
      </c>
      <c r="C264" s="740"/>
      <c r="D264" s="741"/>
      <c r="E264" s="741"/>
      <c r="F264" s="741"/>
      <c r="G264" s="742"/>
      <c r="H264" s="742"/>
      <c r="I264" s="743"/>
      <c r="J264" s="744"/>
      <c r="K264" s="745"/>
      <c r="L264" s="745"/>
      <c r="M264" s="746"/>
      <c r="N264" s="747"/>
    </row>
    <row r="265" spans="1:14" s="584" customFormat="1" ht="18" customHeight="1" x14ac:dyDescent="0.35">
      <c r="A265" s="715"/>
      <c r="B265" s="708"/>
      <c r="C265" s="891"/>
      <c r="D265" s="892"/>
      <c r="E265" s="892"/>
      <c r="F265" s="892"/>
      <c r="G265" s="717"/>
      <c r="H265" s="750"/>
      <c r="I265" s="751"/>
      <c r="J265" s="718"/>
      <c r="K265" s="719"/>
      <c r="L265" s="719"/>
      <c r="M265" s="720"/>
      <c r="N265" s="719"/>
    </row>
    <row r="266" spans="1:14" s="584" customFormat="1" ht="18" customHeight="1" x14ac:dyDescent="0.35">
      <c r="A266" s="715"/>
      <c r="B266" s="708"/>
      <c r="C266" s="893"/>
      <c r="D266" s="894"/>
      <c r="E266" s="894"/>
      <c r="F266" s="894"/>
      <c r="G266" s="717"/>
      <c r="H266" s="750"/>
      <c r="I266" s="751"/>
      <c r="J266" s="718"/>
      <c r="K266" s="719"/>
      <c r="L266" s="719"/>
      <c r="M266" s="720"/>
      <c r="N266" s="719"/>
    </row>
    <row r="267" spans="1:14" s="584" customFormat="1" ht="18" customHeight="1" x14ac:dyDescent="0.35">
      <c r="A267" s="715"/>
      <c r="B267" s="708"/>
      <c r="C267" s="893"/>
      <c r="D267" s="894"/>
      <c r="E267" s="894"/>
      <c r="F267" s="894"/>
      <c r="G267" s="717"/>
      <c r="H267" s="750"/>
      <c r="I267" s="751"/>
      <c r="J267" s="718"/>
      <c r="K267" s="752"/>
      <c r="L267" s="719"/>
      <c r="M267" s="720"/>
      <c r="N267" s="719"/>
    </row>
    <row r="268" spans="1:14" s="584" customFormat="1" ht="18" customHeight="1" x14ac:dyDescent="0.35">
      <c r="A268" s="715"/>
      <c r="B268" s="708"/>
      <c r="C268" s="721"/>
      <c r="D268" s="725"/>
      <c r="E268" s="725"/>
      <c r="F268" s="725"/>
      <c r="G268" s="717"/>
      <c r="H268" s="750"/>
      <c r="I268" s="751"/>
      <c r="J268" s="718"/>
      <c r="K268" s="752"/>
      <c r="L268" s="719"/>
      <c r="M268" s="720"/>
      <c r="N268" s="719"/>
    </row>
    <row r="269" spans="1:14" s="584" customFormat="1" ht="18" customHeight="1" x14ac:dyDescent="0.35">
      <c r="A269" s="715"/>
      <c r="B269" s="728"/>
      <c r="C269" s="717"/>
      <c r="D269" s="725"/>
      <c r="E269" s="725"/>
      <c r="F269" s="725"/>
      <c r="G269" s="717"/>
      <c r="H269" s="750"/>
      <c r="I269" s="895" t="s">
        <v>776</v>
      </c>
      <c r="J269" s="895"/>
      <c r="K269" s="895"/>
      <c r="L269" s="895"/>
      <c r="M269" s="720"/>
      <c r="N269" s="719"/>
    </row>
    <row r="270" spans="1:14" s="584" customFormat="1" ht="18" customHeight="1" x14ac:dyDescent="0.35">
      <c r="A270" s="715"/>
      <c r="B270" s="728"/>
      <c r="C270" s="717"/>
      <c r="D270" s="725"/>
      <c r="E270" s="725"/>
      <c r="F270" s="725"/>
      <c r="G270" s="717"/>
      <c r="H270" s="750"/>
      <c r="I270" s="765"/>
      <c r="J270" s="718"/>
      <c r="K270" s="718"/>
      <c r="L270" s="724"/>
      <c r="M270" s="766"/>
      <c r="N270" s="719"/>
    </row>
    <row r="271" spans="1:14" s="584" customFormat="1" ht="18" customHeight="1" x14ac:dyDescent="0.35">
      <c r="A271" s="715"/>
      <c r="B271" s="728"/>
      <c r="C271" s="717"/>
      <c r="D271" s="725"/>
      <c r="E271" s="725"/>
      <c r="F271" s="725"/>
      <c r="G271" s="717"/>
      <c r="H271" s="750"/>
      <c r="I271" s="719"/>
      <c r="J271" s="718"/>
      <c r="K271" s="752"/>
      <c r="L271" s="724"/>
      <c r="M271" s="720"/>
      <c r="N271" s="719"/>
    </row>
    <row r="272" spans="1:14" s="584" customFormat="1" ht="18" customHeight="1" x14ac:dyDescent="0.35">
      <c r="A272" s="715"/>
      <c r="B272" s="728"/>
      <c r="C272" s="717"/>
      <c r="D272" s="725"/>
      <c r="E272" s="725"/>
      <c r="F272" s="725"/>
      <c r="G272" s="717"/>
      <c r="H272" s="750"/>
      <c r="I272" s="896"/>
      <c r="J272" s="896"/>
      <c r="K272" s="896"/>
      <c r="L272" s="896"/>
      <c r="M272" s="764"/>
      <c r="N272" s="752"/>
    </row>
    <row r="273" spans="1:14" s="584" customFormat="1" ht="18" customHeight="1" x14ac:dyDescent="0.35">
      <c r="A273" s="715"/>
      <c r="B273" s="728"/>
      <c r="C273" s="717"/>
      <c r="D273" s="725"/>
      <c r="E273" s="725"/>
      <c r="F273" s="725"/>
      <c r="G273" s="717"/>
      <c r="H273" s="750"/>
      <c r="I273" s="585" t="s">
        <v>774</v>
      </c>
      <c r="J273" s="718"/>
      <c r="K273" s="724"/>
      <c r="L273" s="724"/>
      <c r="M273" s="720"/>
      <c r="N273" s="719"/>
    </row>
    <row r="274" spans="1:14" s="584" customFormat="1" ht="18" customHeight="1" x14ac:dyDescent="0.35">
      <c r="A274" s="767"/>
      <c r="B274" s="717"/>
      <c r="C274" s="717"/>
      <c r="D274" s="725"/>
      <c r="E274" s="725"/>
      <c r="F274" s="725"/>
      <c r="G274" s="717"/>
      <c r="H274" s="750"/>
      <c r="I274" s="719"/>
      <c r="J274" s="718"/>
      <c r="K274" s="724"/>
      <c r="L274" s="724"/>
      <c r="M274" s="720"/>
      <c r="N274" s="719"/>
    </row>
    <row r="275" spans="1:14" s="584" customFormat="1" ht="18" customHeight="1" x14ac:dyDescent="0.35">
      <c r="A275" s="767"/>
      <c r="B275" s="717"/>
      <c r="C275" s="717"/>
      <c r="D275" s="725"/>
      <c r="E275" s="725"/>
      <c r="F275" s="725"/>
      <c r="G275" s="717"/>
      <c r="H275" s="750"/>
      <c r="I275" s="719"/>
      <c r="J275" s="718"/>
      <c r="K275" s="724"/>
      <c r="L275" s="724"/>
      <c r="M275" s="720"/>
      <c r="N275" s="719"/>
    </row>
    <row r="276" spans="1:14" s="584" customFormat="1" ht="20.2" customHeight="1" x14ac:dyDescent="0.35">
      <c r="A276" s="768"/>
      <c r="B276" s="733"/>
      <c r="C276" s="731"/>
      <c r="D276" s="732"/>
      <c r="E276" s="732"/>
      <c r="F276" s="732"/>
      <c r="G276" s="731"/>
      <c r="H276" s="733"/>
      <c r="I276" s="734"/>
      <c r="J276" s="735"/>
      <c r="K276" s="754"/>
      <c r="L276" s="736"/>
      <c r="M276" s="737"/>
      <c r="N276" s="719"/>
    </row>
  </sheetData>
  <mergeCells count="250">
    <mergeCell ref="I21:M21"/>
    <mergeCell ref="B46:G46"/>
    <mergeCell ref="C47:G47"/>
    <mergeCell ref="D48:G48"/>
    <mergeCell ref="C49:G49"/>
    <mergeCell ref="B15:E15"/>
    <mergeCell ref="B16:E16"/>
    <mergeCell ref="B20:E20"/>
    <mergeCell ref="B19:E19"/>
    <mergeCell ref="B17:E17"/>
    <mergeCell ref="B18:E18"/>
    <mergeCell ref="B22:E22"/>
    <mergeCell ref="B25:E25"/>
    <mergeCell ref="B23:E23"/>
    <mergeCell ref="B24:E24"/>
    <mergeCell ref="B21:E21"/>
    <mergeCell ref="F21:H21"/>
    <mergeCell ref="D34:G34"/>
    <mergeCell ref="C37:G37"/>
    <mergeCell ref="B39:G39"/>
    <mergeCell ref="C40:G40"/>
    <mergeCell ref="D41:G41"/>
    <mergeCell ref="F15:M15"/>
    <mergeCell ref="F16:M16"/>
    <mergeCell ref="F18:M18"/>
    <mergeCell ref="A42:A45"/>
    <mergeCell ref="B42:M42"/>
    <mergeCell ref="B43:G45"/>
    <mergeCell ref="H43:M43"/>
    <mergeCell ref="H44:J44"/>
    <mergeCell ref="K44:M44"/>
    <mergeCell ref="D130:G130"/>
    <mergeCell ref="D131:G131"/>
    <mergeCell ref="B102:G102"/>
    <mergeCell ref="C103:G103"/>
    <mergeCell ref="D104:G104"/>
    <mergeCell ref="E105:G105"/>
    <mergeCell ref="F106:G106"/>
    <mergeCell ref="F107:G107"/>
    <mergeCell ref="F108:G108"/>
    <mergeCell ref="E109:G109"/>
    <mergeCell ref="F110:G110"/>
    <mergeCell ref="F111:G111"/>
    <mergeCell ref="F112:G112"/>
    <mergeCell ref="E113:G113"/>
    <mergeCell ref="F114:G114"/>
    <mergeCell ref="F117:G117"/>
    <mergeCell ref="E120:G120"/>
    <mergeCell ref="D50:G50"/>
    <mergeCell ref="A27:A30"/>
    <mergeCell ref="B27:M27"/>
    <mergeCell ref="B28:G30"/>
    <mergeCell ref="H28:M28"/>
    <mergeCell ref="H29:J29"/>
    <mergeCell ref="K29:M29"/>
    <mergeCell ref="B31:G31"/>
    <mergeCell ref="B32:G32"/>
    <mergeCell ref="C33:G33"/>
    <mergeCell ref="C51:G51"/>
    <mergeCell ref="D52:G52"/>
    <mergeCell ref="E53:G53"/>
    <mergeCell ref="E54:G54"/>
    <mergeCell ref="E55:G55"/>
    <mergeCell ref="E56:G56"/>
    <mergeCell ref="D57:G57"/>
    <mergeCell ref="E58:G58"/>
    <mergeCell ref="E59:G59"/>
    <mergeCell ref="E60:G60"/>
    <mergeCell ref="E61:G61"/>
    <mergeCell ref="C62:G62"/>
    <mergeCell ref="D63:G63"/>
    <mergeCell ref="D64:G64"/>
    <mergeCell ref="C65:G65"/>
    <mergeCell ref="D66:G66"/>
    <mergeCell ref="C67:G67"/>
    <mergeCell ref="D68:G68"/>
    <mergeCell ref="C69:G69"/>
    <mergeCell ref="D70:G70"/>
    <mergeCell ref="D71:G71"/>
    <mergeCell ref="C72:G72"/>
    <mergeCell ref="D73:G73"/>
    <mergeCell ref="C74:G74"/>
    <mergeCell ref="D75:G75"/>
    <mergeCell ref="D76:G76"/>
    <mergeCell ref="D77:G77"/>
    <mergeCell ref="D78:G78"/>
    <mergeCell ref="D79:G79"/>
    <mergeCell ref="D80:G80"/>
    <mergeCell ref="D81:G81"/>
    <mergeCell ref="D82:G82"/>
    <mergeCell ref="C83:G83"/>
    <mergeCell ref="D84:G84"/>
    <mergeCell ref="D85:G85"/>
    <mergeCell ref="C86:G86"/>
    <mergeCell ref="D87:G87"/>
    <mergeCell ref="D88:G88"/>
    <mergeCell ref="A89:A92"/>
    <mergeCell ref="B89:M89"/>
    <mergeCell ref="B90:G92"/>
    <mergeCell ref="H90:M90"/>
    <mergeCell ref="H91:J91"/>
    <mergeCell ref="K91:M91"/>
    <mergeCell ref="B93:G93"/>
    <mergeCell ref="C94:G94"/>
    <mergeCell ref="D95:G95"/>
    <mergeCell ref="D96:G96"/>
    <mergeCell ref="D97:G97"/>
    <mergeCell ref="D98:G98"/>
    <mergeCell ref="D99:G99"/>
    <mergeCell ref="D100:G100"/>
    <mergeCell ref="D101:G101"/>
    <mergeCell ref="D121:G121"/>
    <mergeCell ref="C122:G122"/>
    <mergeCell ref="D123:G123"/>
    <mergeCell ref="C124:G124"/>
    <mergeCell ref="D125:G125"/>
    <mergeCell ref="C126:G126"/>
    <mergeCell ref="D127:G127"/>
    <mergeCell ref="D128:G128"/>
    <mergeCell ref="C129:G129"/>
    <mergeCell ref="D132:G132"/>
    <mergeCell ref="B133:G133"/>
    <mergeCell ref="C134:G134"/>
    <mergeCell ref="D135:G135"/>
    <mergeCell ref="C136:G136"/>
    <mergeCell ref="D137:G137"/>
    <mergeCell ref="C138:G138"/>
    <mergeCell ref="A139:A142"/>
    <mergeCell ref="B139:M139"/>
    <mergeCell ref="B140:G142"/>
    <mergeCell ref="H140:M140"/>
    <mergeCell ref="H141:J141"/>
    <mergeCell ref="K141:M141"/>
    <mergeCell ref="B143:G143"/>
    <mergeCell ref="D144:G144"/>
    <mergeCell ref="E145:G145"/>
    <mergeCell ref="F146:G146"/>
    <mergeCell ref="F147:G147"/>
    <mergeCell ref="F148:G148"/>
    <mergeCell ref="E149:G149"/>
    <mergeCell ref="F150:G150"/>
    <mergeCell ref="F151:G151"/>
    <mergeCell ref="F152:G152"/>
    <mergeCell ref="D153:G153"/>
    <mergeCell ref="C154:G154"/>
    <mergeCell ref="D155:G155"/>
    <mergeCell ref="D156:G156"/>
    <mergeCell ref="D157:G157"/>
    <mergeCell ref="C158:G158"/>
    <mergeCell ref="D159:G159"/>
    <mergeCell ref="B160:G160"/>
    <mergeCell ref="B161:G161"/>
    <mergeCell ref="C162:G162"/>
    <mergeCell ref="D163:G163"/>
    <mergeCell ref="D164:G164"/>
    <mergeCell ref="C165:G165"/>
    <mergeCell ref="D166:G166"/>
    <mergeCell ref="E167:G167"/>
    <mergeCell ref="E168:G168"/>
    <mergeCell ref="D169:G169"/>
    <mergeCell ref="E170:G170"/>
    <mergeCell ref="E171:G171"/>
    <mergeCell ref="C172:G172"/>
    <mergeCell ref="D173:G173"/>
    <mergeCell ref="E174:G174"/>
    <mergeCell ref="E175:G175"/>
    <mergeCell ref="E176:G176"/>
    <mergeCell ref="D177:G177"/>
    <mergeCell ref="E178:G178"/>
    <mergeCell ref="E179:G179"/>
    <mergeCell ref="E180:G180"/>
    <mergeCell ref="C181:G181"/>
    <mergeCell ref="D182:G182"/>
    <mergeCell ref="C183:G183"/>
    <mergeCell ref="D184:G184"/>
    <mergeCell ref="D185:G185"/>
    <mergeCell ref="C186:G186"/>
    <mergeCell ref="D187:G187"/>
    <mergeCell ref="D188:G188"/>
    <mergeCell ref="C189:G189"/>
    <mergeCell ref="D190:G190"/>
    <mergeCell ref="E191:G191"/>
    <mergeCell ref="E192:G192"/>
    <mergeCell ref="D193:G193"/>
    <mergeCell ref="E194:G194"/>
    <mergeCell ref="E195:G195"/>
    <mergeCell ref="A196:A199"/>
    <mergeCell ref="B196:M196"/>
    <mergeCell ref="B197:G199"/>
    <mergeCell ref="H197:M197"/>
    <mergeCell ref="H198:J198"/>
    <mergeCell ref="K198:M198"/>
    <mergeCell ref="D212:G212"/>
    <mergeCell ref="D213:G213"/>
    <mergeCell ref="C214:G214"/>
    <mergeCell ref="C218:G218"/>
    <mergeCell ref="D219:G219"/>
    <mergeCell ref="A220:G220"/>
    <mergeCell ref="B200:G200"/>
    <mergeCell ref="C201:G201"/>
    <mergeCell ref="D202:G202"/>
    <mergeCell ref="E203:G203"/>
    <mergeCell ref="E204:G204"/>
    <mergeCell ref="E205:G205"/>
    <mergeCell ref="D206:G206"/>
    <mergeCell ref="E207:G207"/>
    <mergeCell ref="E208:G208"/>
    <mergeCell ref="I258:L258"/>
    <mergeCell ref="I260:L260"/>
    <mergeCell ref="C265:F265"/>
    <mergeCell ref="C266:F266"/>
    <mergeCell ref="C267:F267"/>
    <mergeCell ref="I269:L269"/>
    <mergeCell ref="I272:L272"/>
    <mergeCell ref="Q242:Y244"/>
    <mergeCell ref="Q245:Y247"/>
    <mergeCell ref="H246:M246"/>
    <mergeCell ref="H247:M247"/>
    <mergeCell ref="C250:F250"/>
    <mergeCell ref="C251:F251"/>
    <mergeCell ref="I251:L251"/>
    <mergeCell ref="C252:F252"/>
    <mergeCell ref="I253:L253"/>
    <mergeCell ref="I254:L254"/>
    <mergeCell ref="I257:L257"/>
    <mergeCell ref="H242:M242"/>
    <mergeCell ref="O233:S234"/>
    <mergeCell ref="O229:S231"/>
    <mergeCell ref="H6:M6"/>
    <mergeCell ref="A7:M7"/>
    <mergeCell ref="A8:M8"/>
    <mergeCell ref="B14:M14"/>
    <mergeCell ref="F17:M17"/>
    <mergeCell ref="F19:M19"/>
    <mergeCell ref="F20:M20"/>
    <mergeCell ref="F22:M22"/>
    <mergeCell ref="F25:M25"/>
    <mergeCell ref="B26:M26"/>
    <mergeCell ref="D36:G36"/>
    <mergeCell ref="A221:G221"/>
    <mergeCell ref="C224:G224"/>
    <mergeCell ref="C225:G225"/>
    <mergeCell ref="C226:G226"/>
    <mergeCell ref="C227:G227"/>
    <mergeCell ref="H233:M233"/>
    <mergeCell ref="H234:M234"/>
    <mergeCell ref="H229:M230"/>
    <mergeCell ref="E209:G209"/>
    <mergeCell ref="C210:G210"/>
    <mergeCell ref="D211:G211"/>
  </mergeCells>
  <conditionalFormatting sqref="F15">
    <cfRule type="expression" dxfId="749" priority="24">
      <formula>F15=""</formula>
    </cfRule>
  </conditionalFormatting>
  <conditionalFormatting sqref="F16:F18">
    <cfRule type="expression" dxfId="748" priority="23">
      <formula>F16=""</formula>
    </cfRule>
  </conditionalFormatting>
  <conditionalFormatting sqref="F19">
    <cfRule type="expression" dxfId="747" priority="22">
      <formula>F19=""</formula>
    </cfRule>
  </conditionalFormatting>
  <conditionalFormatting sqref="I21">
    <cfRule type="expression" dxfId="746" priority="18">
      <formula>I21=""</formula>
    </cfRule>
  </conditionalFormatting>
  <conditionalFormatting sqref="F21:H21">
    <cfRule type="expression" dxfId="745" priority="17">
      <formula>F21=""</formula>
    </cfRule>
  </conditionalFormatting>
  <conditionalFormatting sqref="F23:F24">
    <cfRule type="expression" dxfId="744" priority="20">
      <formula>F23=""</formula>
    </cfRule>
  </conditionalFormatting>
  <conditionalFormatting sqref="F20">
    <cfRule type="expression" dxfId="743" priority="15">
      <formula>F20=""</formula>
    </cfRule>
  </conditionalFormatting>
  <conditionalFormatting sqref="F22">
    <cfRule type="expression" dxfId="742" priority="13">
      <formula>$F22=""</formula>
    </cfRule>
  </conditionalFormatting>
  <conditionalFormatting sqref="D10:D12">
    <cfRule type="expression" dxfId="741" priority="9">
      <formula>$D10="-"</formula>
    </cfRule>
  </conditionalFormatting>
  <conditionalFormatting sqref="I11 I13">
    <cfRule type="expression" dxfId="740" priority="1135">
      <formula>$I11=""</formula>
    </cfRule>
  </conditionalFormatting>
  <conditionalFormatting sqref="F25">
    <cfRule type="expression" dxfId="739" priority="4">
      <formula>$F$25=""</formula>
    </cfRule>
  </conditionalFormatting>
  <conditionalFormatting sqref="H233:M233">
    <cfRule type="expression" dxfId="738" priority="3">
      <formula>$H$233=""</formula>
    </cfRule>
  </conditionalFormatting>
  <conditionalFormatting sqref="H234:M234">
    <cfRule type="expression" dxfId="737" priority="2">
      <formula>$H$234=""</formula>
    </cfRule>
  </conditionalFormatting>
  <conditionalFormatting sqref="H229:M230">
    <cfRule type="expression" dxfId="736" priority="1">
      <formula>$F$22=""</formula>
    </cfRule>
  </conditionalFormatting>
  <conditionalFormatting sqref="K11 K13">
    <cfRule type="expression" dxfId="735" priority="1188">
      <formula>$K11=""</formula>
    </cfRule>
  </conditionalFormatting>
  <dataValidations count="3">
    <dataValidation type="list" allowBlank="1" showInputMessage="1" showErrorMessage="1" sqref="F19" xr:uid="{00000000-0002-0000-0000-000000000000}">
      <formula1>"Laki-laki,Perempuan"</formula1>
    </dataValidation>
    <dataValidation type="list" allowBlank="1" showInputMessage="1" showErrorMessage="1" sqref="F21:H21" xr:uid="{00000000-0002-0000-0000-000001000000}">
      <formula1>"Tenaga Pengajar,Asisten Ahli,Lektor,Lektor Kepala"</formula1>
    </dataValidation>
    <dataValidation type="list" allowBlank="1" showInputMessage="1" showErrorMessage="1" sqref="F20" xr:uid="{00000000-0002-0000-0000-000002000000}">
      <formula1>"Magister (S2), Doktor (S3)"</formula1>
    </dataValidation>
  </dataValidations>
  <pageMargins left="0.7" right="0.7" top="0.52" bottom="0.49" header="0.3" footer="0.3"/>
  <pageSetup paperSize="9" scale="9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3000000}">
          <x14:formula1>
            <xm:f>List!$H$2:$H$14</xm:f>
          </x14:formula1>
          <xm:sqref>I11 I13</xm:sqref>
        </x14:dataValidation>
        <x14:dataValidation type="list" allowBlank="1" showInputMessage="1" showErrorMessage="1" xr:uid="{00000000-0002-0000-0000-000004000000}">
          <x14:formula1>
            <xm:f>List!$J$2:$J$22</xm:f>
          </x14:formula1>
          <xm:sqref>K11 K13</xm:sqref>
        </x14:dataValidation>
        <x14:dataValidation type="list" allowBlank="1" showInputMessage="1" showErrorMessage="1" xr:uid="{00000000-0002-0000-0000-000005000000}">
          <x14:formula1>
            <xm:f>List!$C$2:$C$29</xm:f>
          </x14:formula1>
          <xm:sqref>F22</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R91"/>
  <sheetViews>
    <sheetView showGridLines="0" zoomScale="70" zoomScaleNormal="70" workbookViewId="0">
      <selection activeCell="H52" sqref="H52:H53"/>
    </sheetView>
  </sheetViews>
  <sheetFormatPr defaultColWidth="9.19921875" defaultRowHeight="14.25" x14ac:dyDescent="0.45"/>
  <cols>
    <col min="1" max="1" width="3.46484375" style="140" customWidth="1"/>
    <col min="2" max="2" width="36.19921875" style="140" customWidth="1"/>
    <col min="3" max="3" width="5.53125" style="140" bestFit="1" customWidth="1"/>
    <col min="4" max="10" width="10.796875" style="140" customWidth="1"/>
    <col min="11" max="11" width="12.46484375" style="140" customWidth="1"/>
    <col min="12" max="13" width="10.796875" style="140" customWidth="1"/>
    <col min="14" max="14" width="11" style="140" customWidth="1"/>
    <col min="15" max="16384" width="9.19921875" style="140"/>
  </cols>
  <sheetData>
    <row r="2" spans="1:13" s="137" customFormat="1" ht="12.75" customHeight="1" x14ac:dyDescent="0.45">
      <c r="A2" s="1111" t="s">
        <v>622</v>
      </c>
      <c r="B2" s="1111"/>
      <c r="C2" s="1111"/>
      <c r="D2" s="1111"/>
      <c r="E2" s="1111"/>
      <c r="F2" s="1111"/>
      <c r="G2" s="1111"/>
      <c r="H2" s="1111"/>
      <c r="I2" s="1111"/>
      <c r="J2" s="1111"/>
      <c r="K2" s="1111"/>
      <c r="L2" s="1111"/>
      <c r="M2" s="1111"/>
    </row>
    <row r="3" spans="1:13" s="138" customFormat="1" x14ac:dyDescent="0.45">
      <c r="A3" s="1111" t="s">
        <v>186</v>
      </c>
      <c r="B3" s="1111"/>
      <c r="C3" s="1111"/>
      <c r="D3" s="1111"/>
      <c r="E3" s="1111"/>
      <c r="F3" s="1111"/>
      <c r="G3" s="1111"/>
      <c r="H3" s="1111"/>
      <c r="I3" s="1111"/>
      <c r="J3" s="1111"/>
      <c r="K3" s="1111"/>
      <c r="L3" s="1111"/>
      <c r="M3" s="1111"/>
    </row>
    <row r="4" spans="1:13" s="138" customFormat="1" x14ac:dyDescent="0.45">
      <c r="A4" s="1111" t="s">
        <v>187</v>
      </c>
      <c r="B4" s="1111"/>
      <c r="C4" s="1111"/>
      <c r="D4" s="1111"/>
      <c r="E4" s="1111"/>
      <c r="F4" s="1111"/>
      <c r="G4" s="1111"/>
      <c r="H4" s="1111"/>
      <c r="I4" s="1111"/>
      <c r="J4" s="1111"/>
      <c r="K4" s="1111"/>
      <c r="L4" s="1111"/>
      <c r="M4" s="1111"/>
    </row>
    <row r="5" spans="1:13" s="138" customFormat="1" ht="6.7" customHeight="1" x14ac:dyDescent="0.45">
      <c r="A5" s="796"/>
      <c r="B5" s="796"/>
      <c r="C5" s="796"/>
      <c r="D5" s="796"/>
      <c r="E5" s="796"/>
      <c r="F5" s="796"/>
      <c r="G5" s="796"/>
      <c r="H5" s="796"/>
      <c r="I5" s="796"/>
      <c r="J5" s="796"/>
      <c r="K5" s="796"/>
      <c r="L5" s="796"/>
      <c r="M5" s="796"/>
    </row>
    <row r="6" spans="1:13" ht="7.45" customHeight="1" x14ac:dyDescent="0.45">
      <c r="A6" s="796"/>
      <c r="B6" s="796"/>
      <c r="C6" s="796"/>
      <c r="D6" s="796"/>
      <c r="E6" s="796"/>
      <c r="F6" s="796"/>
      <c r="G6" s="796"/>
      <c r="H6" s="796"/>
      <c r="I6" s="796"/>
      <c r="J6" s="796"/>
      <c r="K6" s="796"/>
      <c r="L6" s="796"/>
      <c r="M6" s="796"/>
    </row>
    <row r="7" spans="1:13" x14ac:dyDescent="0.45">
      <c r="A7" s="141" t="s">
        <v>188</v>
      </c>
      <c r="B7" s="1152" t="s">
        <v>189</v>
      </c>
      <c r="C7" s="1152"/>
      <c r="D7" s="1152"/>
      <c r="E7" s="1152"/>
      <c r="F7" s="1152"/>
      <c r="G7" s="1152"/>
      <c r="H7" s="1152"/>
      <c r="I7" s="1152"/>
      <c r="J7" s="1152"/>
      <c r="K7" s="1152"/>
      <c r="L7" s="1152"/>
      <c r="M7" s="1153"/>
    </row>
    <row r="8" spans="1:13" ht="15" customHeight="1" x14ac:dyDescent="0.45">
      <c r="A8" s="142">
        <v>1</v>
      </c>
      <c r="B8" s="1154" t="s">
        <v>190</v>
      </c>
      <c r="C8" s="1155"/>
      <c r="D8" s="143" t="str">
        <f>'LAMPIRAN I DONE'!F15</f>
        <v>Simon Siregar</v>
      </c>
      <c r="E8" s="144"/>
      <c r="F8" s="144"/>
      <c r="G8" s="144"/>
      <c r="H8" s="144"/>
      <c r="I8" s="144"/>
      <c r="J8" s="144"/>
      <c r="K8" s="144"/>
      <c r="L8" s="144"/>
      <c r="M8" s="145"/>
    </row>
    <row r="9" spans="1:13" ht="15" customHeight="1" x14ac:dyDescent="0.45">
      <c r="A9" s="142">
        <v>2</v>
      </c>
      <c r="B9" s="1154" t="s">
        <v>191</v>
      </c>
      <c r="C9" s="1155"/>
      <c r="D9" s="143" t="str">
        <f>'LAMPIRAN I DONE'!F16</f>
        <v>410038203 / 14820015</v>
      </c>
      <c r="E9" s="144"/>
      <c r="F9" s="144"/>
      <c r="G9" s="144"/>
      <c r="H9" s="144"/>
      <c r="I9" s="144"/>
      <c r="J9" s="144"/>
      <c r="K9" s="144"/>
      <c r="L9" s="144"/>
      <c r="M9" s="145"/>
    </row>
    <row r="10" spans="1:13" ht="15" customHeight="1" x14ac:dyDescent="0.45">
      <c r="A10" s="142">
        <v>3</v>
      </c>
      <c r="B10" s="1154" t="s">
        <v>192</v>
      </c>
      <c r="C10" s="1155"/>
      <c r="D10" s="143" t="s">
        <v>66</v>
      </c>
      <c r="E10" s="144"/>
      <c r="F10" s="144"/>
      <c r="G10" s="144"/>
      <c r="H10" s="144"/>
      <c r="I10" s="144"/>
      <c r="J10" s="144"/>
      <c r="K10" s="144"/>
      <c r="L10" s="144"/>
      <c r="M10" s="145"/>
    </row>
    <row r="11" spans="1:13" x14ac:dyDescent="0.45">
      <c r="A11" s="142">
        <v>4</v>
      </c>
      <c r="B11" s="1154" t="s">
        <v>8</v>
      </c>
      <c r="C11" s="1155"/>
      <c r="D11" s="143" t="str">
        <f>'LAMPIRAN I DONE'!F18</f>
        <v>Pusuk, 10 Maret 1982</v>
      </c>
      <c r="E11" s="144"/>
      <c r="F11" s="144"/>
      <c r="G11" s="144"/>
      <c r="H11" s="144"/>
      <c r="I11" s="144"/>
      <c r="J11" s="144"/>
      <c r="K11" s="144"/>
      <c r="L11" s="144"/>
      <c r="M11" s="145"/>
    </row>
    <row r="12" spans="1:13" x14ac:dyDescent="0.45">
      <c r="A12" s="142">
        <v>5</v>
      </c>
      <c r="B12" s="1154" t="s">
        <v>4</v>
      </c>
      <c r="C12" s="1155"/>
      <c r="D12" s="143" t="str">
        <f>'LAMPIRAN I DONE'!F19</f>
        <v>Laki-laki</v>
      </c>
      <c r="E12" s="144"/>
      <c r="F12" s="144"/>
      <c r="G12" s="144"/>
      <c r="H12" s="144"/>
      <c r="I12" s="144"/>
      <c r="J12" s="144"/>
      <c r="K12" s="144"/>
      <c r="L12" s="144"/>
      <c r="M12" s="145"/>
    </row>
    <row r="13" spans="1:13" x14ac:dyDescent="0.45">
      <c r="A13" s="142">
        <v>6</v>
      </c>
      <c r="B13" s="1154" t="s">
        <v>5</v>
      </c>
      <c r="C13" s="1155"/>
      <c r="D13" s="143" t="str">
        <f>'LAMPIRAN I DONE'!F20</f>
        <v>Magister (S2)</v>
      </c>
      <c r="E13" s="144"/>
      <c r="F13" s="144"/>
      <c r="G13" s="144"/>
      <c r="H13" s="144"/>
      <c r="I13" s="144"/>
      <c r="J13" s="144"/>
      <c r="K13" s="144"/>
      <c r="L13" s="144"/>
      <c r="M13" s="145"/>
    </row>
    <row r="14" spans="1:13" x14ac:dyDescent="0.45">
      <c r="A14" s="146">
        <v>7</v>
      </c>
      <c r="B14" s="1129" t="s">
        <v>193</v>
      </c>
      <c r="C14" s="1130"/>
      <c r="D14" s="499" t="str">
        <f>'LAMPIRAN II DONE'!C19</f>
        <v>Penata / IIIC</v>
      </c>
      <c r="E14" s="500"/>
      <c r="F14" s="500"/>
      <c r="G14" s="500"/>
      <c r="H14" s="500"/>
      <c r="I14" s="500"/>
      <c r="J14" s="500"/>
      <c r="K14" s="500"/>
      <c r="L14" s="500"/>
      <c r="M14" s="501"/>
    </row>
    <row r="15" spans="1:13" ht="18" customHeight="1" x14ac:dyDescent="0.45">
      <c r="A15" s="146">
        <v>8</v>
      </c>
      <c r="B15" s="1129" t="s">
        <v>194</v>
      </c>
      <c r="C15" s="1130"/>
      <c r="D15" s="1164" t="str">
        <f>'LAMPIRAN I DONE'!F21</f>
        <v>Lektor</v>
      </c>
      <c r="E15" s="1165"/>
      <c r="F15" s="1165"/>
      <c r="G15" s="1125">
        <f>'LAMPIRAN I DONE'!I21</f>
        <v>42339</v>
      </c>
      <c r="H15" s="1125"/>
      <c r="I15" s="1125"/>
      <c r="J15" s="1125"/>
      <c r="K15" s="1125"/>
      <c r="L15" s="1125"/>
      <c r="M15" s="1126"/>
    </row>
    <row r="16" spans="1:13" x14ac:dyDescent="0.45">
      <c r="A16" s="146">
        <v>9</v>
      </c>
      <c r="B16" s="1129" t="s">
        <v>6</v>
      </c>
      <c r="C16" s="1130"/>
      <c r="D16" s="1164" t="str">
        <f>'LAMPIRAN I DONE'!F22</f>
        <v>D3 Teknik Komputer Fakultas Ilmu Terapan</v>
      </c>
      <c r="E16" s="1165"/>
      <c r="F16" s="1165"/>
      <c r="G16" s="1165"/>
      <c r="H16" s="1165"/>
      <c r="I16" s="1165"/>
      <c r="J16" s="1165"/>
      <c r="K16" s="1165"/>
      <c r="L16" s="1165"/>
      <c r="M16" s="1166"/>
    </row>
    <row r="17" spans="1:18" x14ac:dyDescent="0.45">
      <c r="A17" s="1140">
        <v>10</v>
      </c>
      <c r="B17" s="1142" t="s">
        <v>106</v>
      </c>
      <c r="C17" s="147" t="s">
        <v>107</v>
      </c>
      <c r="D17" s="1173" t="s">
        <v>66</v>
      </c>
      <c r="E17" s="1174"/>
      <c r="F17" s="1174"/>
      <c r="G17" s="1174"/>
      <c r="H17" s="1174"/>
      <c r="I17" s="1174"/>
      <c r="J17" s="1174"/>
      <c r="K17" s="1174"/>
      <c r="L17" s="1174"/>
      <c r="M17" s="1175"/>
    </row>
    <row r="18" spans="1:18" x14ac:dyDescent="0.45">
      <c r="A18" s="1141"/>
      <c r="B18" s="1143"/>
      <c r="C18" s="147" t="s">
        <v>9</v>
      </c>
      <c r="D18" s="143" t="str">
        <f>'LAMPIRAN I DONE'!F24</f>
        <v>3 tahun 1 bulan</v>
      </c>
      <c r="E18" s="144"/>
      <c r="F18" s="144"/>
      <c r="G18" s="144"/>
      <c r="H18" s="144"/>
      <c r="I18" s="144"/>
      <c r="J18" s="144"/>
      <c r="K18" s="144"/>
      <c r="L18" s="144"/>
      <c r="M18" s="145"/>
    </row>
    <row r="19" spans="1:18" x14ac:dyDescent="0.45">
      <c r="A19" s="146">
        <v>11</v>
      </c>
      <c r="B19" s="1144" t="s">
        <v>7</v>
      </c>
      <c r="C19" s="1144"/>
      <c r="D19" s="143" t="str">
        <f>'LAMPIRAN I DONE'!F25</f>
        <v>D3 Teknik Komputer Fakultas Ilmu Terapan di Universitas Telkom pada Kopertis Wilayah IV Jawa Barat dan Banten</v>
      </c>
      <c r="E19" s="148"/>
      <c r="F19" s="148"/>
      <c r="G19" s="148"/>
      <c r="H19" s="148"/>
      <c r="I19" s="148"/>
      <c r="J19" s="148"/>
      <c r="K19" s="148"/>
      <c r="L19" s="148"/>
      <c r="M19" s="149"/>
    </row>
    <row r="20" spans="1:18" ht="14.65" thickBot="1" x14ac:dyDescent="0.5">
      <c r="A20" s="796"/>
      <c r="B20" s="796"/>
      <c r="C20" s="796"/>
      <c r="D20" s="796"/>
      <c r="E20" s="796"/>
      <c r="F20" s="796"/>
      <c r="G20" s="796"/>
      <c r="H20" s="796"/>
      <c r="I20" s="796"/>
      <c r="J20" s="796"/>
      <c r="K20" s="796"/>
      <c r="L20" s="796"/>
      <c r="M20" s="796"/>
    </row>
    <row r="21" spans="1:18" ht="14.65" thickBot="1" x14ac:dyDescent="0.5">
      <c r="A21" s="141" t="s">
        <v>195</v>
      </c>
      <c r="B21" s="1145" t="s">
        <v>196</v>
      </c>
      <c r="C21" s="1146"/>
      <c r="D21" s="1146"/>
      <c r="E21" s="1146"/>
      <c r="F21" s="1146"/>
      <c r="G21" s="1146"/>
      <c r="H21" s="1146"/>
      <c r="I21" s="1146"/>
      <c r="J21" s="1146"/>
      <c r="K21" s="1146"/>
      <c r="L21" s="1146"/>
      <c r="M21" s="1146"/>
      <c r="N21" s="1147"/>
    </row>
    <row r="22" spans="1:18" ht="14.65" thickBot="1" x14ac:dyDescent="0.5">
      <c r="A22" s="1133" t="s">
        <v>197</v>
      </c>
      <c r="B22" s="1134" t="s">
        <v>198</v>
      </c>
      <c r="C22" s="1135"/>
      <c r="D22" s="1145" t="s">
        <v>199</v>
      </c>
      <c r="E22" s="1146"/>
      <c r="F22" s="1146"/>
      <c r="G22" s="1146"/>
      <c r="H22" s="1146"/>
      <c r="I22" s="1146"/>
      <c r="J22" s="1146"/>
      <c r="K22" s="1146"/>
      <c r="L22" s="1146"/>
      <c r="M22" s="1146"/>
      <c r="N22" s="1147"/>
      <c r="R22" s="522"/>
    </row>
    <row r="23" spans="1:18" ht="40.5" customHeight="1" thickBot="1" x14ac:dyDescent="0.5">
      <c r="A23" s="1133"/>
      <c r="B23" s="1136"/>
      <c r="C23" s="1137"/>
      <c r="D23" s="1148" t="s">
        <v>603</v>
      </c>
      <c r="E23" s="1149"/>
      <c r="F23" s="1149"/>
      <c r="G23" s="1150"/>
      <c r="H23" s="1148" t="s">
        <v>200</v>
      </c>
      <c r="I23" s="1150"/>
      <c r="J23" s="1148" t="s">
        <v>201</v>
      </c>
      <c r="K23" s="1149"/>
      <c r="L23" s="1150"/>
      <c r="M23" s="1167" t="s">
        <v>604</v>
      </c>
      <c r="N23" s="1168"/>
    </row>
    <row r="24" spans="1:18" ht="43.15" thickBot="1" x14ac:dyDescent="0.5">
      <c r="A24" s="1133"/>
      <c r="B24" s="1138"/>
      <c r="C24" s="1139"/>
      <c r="D24" s="519" t="s">
        <v>203</v>
      </c>
      <c r="E24" s="520" t="s">
        <v>581</v>
      </c>
      <c r="F24" s="519" t="s">
        <v>206</v>
      </c>
      <c r="G24" s="521" t="s">
        <v>207</v>
      </c>
      <c r="H24" s="519" t="s">
        <v>608</v>
      </c>
      <c r="I24" s="521" t="s">
        <v>202</v>
      </c>
      <c r="J24" s="1148" t="s">
        <v>609</v>
      </c>
      <c r="K24" s="1151"/>
      <c r="L24" s="521" t="s">
        <v>204</v>
      </c>
      <c r="M24" s="533" t="s">
        <v>205</v>
      </c>
      <c r="N24" s="534" t="s">
        <v>204</v>
      </c>
    </row>
    <row r="25" spans="1:18" x14ac:dyDescent="0.45">
      <c r="A25" s="192" t="s">
        <v>208</v>
      </c>
      <c r="B25" s="1156" t="s">
        <v>209</v>
      </c>
      <c r="C25" s="1157"/>
      <c r="D25" s="238" t="s">
        <v>210</v>
      </c>
      <c r="E25" s="238" t="s">
        <v>211</v>
      </c>
      <c r="F25" s="238" t="s">
        <v>212</v>
      </c>
      <c r="G25" s="239" t="s">
        <v>213</v>
      </c>
      <c r="H25" s="238" t="s">
        <v>607</v>
      </c>
      <c r="I25" s="239" t="s">
        <v>214</v>
      </c>
      <c r="J25" s="240" t="s">
        <v>214</v>
      </c>
      <c r="K25" s="239" t="s">
        <v>215</v>
      </c>
      <c r="L25" s="238" t="s">
        <v>216</v>
      </c>
      <c r="M25" s="239" t="s">
        <v>217</v>
      </c>
      <c r="N25" s="239" t="s">
        <v>218</v>
      </c>
    </row>
    <row r="26" spans="1:18" s="151" customFormat="1" x14ac:dyDescent="0.45">
      <c r="A26" s="229"/>
      <c r="B26" s="1158"/>
      <c r="C26" s="1159"/>
      <c r="D26" s="224"/>
      <c r="E26" s="502"/>
      <c r="F26" s="150"/>
      <c r="G26" s="214"/>
      <c r="H26" s="203"/>
      <c r="I26" s="204"/>
      <c r="J26" s="150"/>
      <c r="K26" s="524"/>
      <c r="L26" s="548"/>
      <c r="M26" s="550"/>
      <c r="N26" s="549"/>
    </row>
    <row r="27" spans="1:18" s="153" customFormat="1" hidden="1" x14ac:dyDescent="0.45">
      <c r="A27" s="230" t="s">
        <v>219</v>
      </c>
      <c r="B27" s="232" t="s">
        <v>220</v>
      </c>
      <c r="C27" s="237" t="str">
        <f>IF('LAMPIRAN I DONE'!F20="magister (S2)","S2",IF('LAMPIRAN I DONE'!F20="Doktor (S3)","S3",""))</f>
        <v>S2</v>
      </c>
      <c r="D27" s="225"/>
      <c r="E27" s="202"/>
      <c r="F27" s="152"/>
      <c r="G27" s="215"/>
      <c r="H27" s="205"/>
      <c r="I27" s="206"/>
      <c r="J27" s="152"/>
      <c r="K27" s="525"/>
      <c r="L27" s="215"/>
      <c r="M27" s="544"/>
      <c r="N27" s="245"/>
    </row>
    <row r="28" spans="1:18" s="155" customFormat="1" hidden="1" x14ac:dyDescent="0.45">
      <c r="A28" s="231">
        <v>1</v>
      </c>
      <c r="B28" s="233" t="s">
        <v>221</v>
      </c>
      <c r="C28" s="200"/>
      <c r="D28" s="1160"/>
      <c r="E28" s="1116"/>
      <c r="F28" s="517"/>
      <c r="G28" s="216"/>
      <c r="H28" s="1117">
        <f>45%*(150-D33)</f>
        <v>67.5</v>
      </c>
      <c r="I28" s="1119" t="s">
        <v>232</v>
      </c>
      <c r="J28" s="528" t="str">
        <f>IF('LAMPIRAN I DONE'!$F$21="tenaga pengajar",'LAMPIRAN I DONE'!$G$34,"")</f>
        <v/>
      </c>
      <c r="K28" s="1123" t="str">
        <f>IFERROR(J28+J29,"")</f>
        <v/>
      </c>
      <c r="L28" s="1114" t="str">
        <f>IFERROR(K28/H33,"")</f>
        <v/>
      </c>
      <c r="M28" s="1162"/>
      <c r="N28" s="1169"/>
    </row>
    <row r="29" spans="1:18" s="155" customFormat="1" hidden="1" x14ac:dyDescent="0.45">
      <c r="A29" s="231">
        <v>2</v>
      </c>
      <c r="B29" s="233" t="s">
        <v>223</v>
      </c>
      <c r="C29" s="200"/>
      <c r="D29" s="1161"/>
      <c r="E29" s="1116"/>
      <c r="F29" s="518"/>
      <c r="G29" s="217"/>
      <c r="H29" s="1118"/>
      <c r="I29" s="1120"/>
      <c r="J29" s="528" t="str">
        <f>IF('LAMPIRAN I DONE'!$F$21="tenaga pengajar",'LAMPIRAN I DONE'!$G$50,"")</f>
        <v/>
      </c>
      <c r="K29" s="1124"/>
      <c r="L29" s="1115"/>
      <c r="M29" s="1163"/>
      <c r="N29" s="1170"/>
    </row>
    <row r="30" spans="1:18" s="155" customFormat="1" hidden="1" x14ac:dyDescent="0.45">
      <c r="A30" s="231">
        <v>3</v>
      </c>
      <c r="B30" s="234" t="s">
        <v>224</v>
      </c>
      <c r="C30" s="156"/>
      <c r="D30" s="542"/>
      <c r="E30" s="510"/>
      <c r="F30" s="508"/>
      <c r="G30" s="218"/>
      <c r="H30" s="207">
        <f>35%*(150-D33)</f>
        <v>52.5</v>
      </c>
      <c r="I30" s="208" t="s">
        <v>233</v>
      </c>
      <c r="J30" s="528" t="str">
        <f>IF('LAMPIRAN I DONE'!$F$21="tenaga pengajar",'LAMPIRAN I DONE'!$G$76,"")</f>
        <v/>
      </c>
      <c r="K30" s="529" t="str">
        <f>J30</f>
        <v/>
      </c>
      <c r="L30" s="797" t="str">
        <f>IFERROR(K30/H33,"")</f>
        <v/>
      </c>
      <c r="M30" s="545"/>
      <c r="N30" s="797"/>
    </row>
    <row r="31" spans="1:18" s="155" customFormat="1" hidden="1" x14ac:dyDescent="0.45">
      <c r="A31" s="231">
        <v>4</v>
      </c>
      <c r="B31" s="234" t="s">
        <v>226</v>
      </c>
      <c r="C31" s="156"/>
      <c r="D31" s="542"/>
      <c r="E31" s="510"/>
      <c r="F31" s="508"/>
      <c r="G31" s="218"/>
      <c r="H31" s="207">
        <f>10%*(150-D33)</f>
        <v>15</v>
      </c>
      <c r="I31" s="208" t="s">
        <v>227</v>
      </c>
      <c r="J31" s="528" t="str">
        <f>IF('LAMPIRAN I DONE'!$F$21="tenaga pengajar",'LAMPIRAN I DONE'!$G$83,"")</f>
        <v/>
      </c>
      <c r="K31" s="529" t="str">
        <f>IF(J31="","",IF(J31&gt;(10/100*(H33)),(10/100*(H33)),J31))</f>
        <v/>
      </c>
      <c r="L31" s="797" t="str">
        <f>IFERROR(K31/H33,"")</f>
        <v/>
      </c>
      <c r="M31" s="545"/>
      <c r="N31" s="797"/>
    </row>
    <row r="32" spans="1:18" s="155" customFormat="1" hidden="1" x14ac:dyDescent="0.45">
      <c r="A32" s="231">
        <v>5</v>
      </c>
      <c r="B32" s="234" t="s">
        <v>228</v>
      </c>
      <c r="C32" s="156"/>
      <c r="D32" s="542"/>
      <c r="E32" s="510"/>
      <c r="F32" s="508"/>
      <c r="G32" s="218"/>
      <c r="H32" s="207">
        <f>10%*(150-D33)</f>
        <v>15</v>
      </c>
      <c r="I32" s="208" t="s">
        <v>227</v>
      </c>
      <c r="J32" s="528" t="str">
        <f>IF('LAMPIRAN I DONE'!$F$21="tenaga pengajar",'LAMPIRAN I DONE'!$G$96,"")</f>
        <v/>
      </c>
      <c r="K32" s="527" t="str">
        <f>IF(J31="","",IF(J31&gt;(10/100*(H33)),(10/100*(H33)),J31))</f>
        <v/>
      </c>
      <c r="L32" s="797" t="str">
        <f>IFERROR(K32/H33,"")</f>
        <v/>
      </c>
      <c r="M32" s="545"/>
      <c r="N32" s="797"/>
    </row>
    <row r="33" spans="1:14" s="158" customFormat="1" hidden="1" x14ac:dyDescent="0.45">
      <c r="A33" s="193"/>
      <c r="B33" s="1131" t="s">
        <v>229</v>
      </c>
      <c r="C33" s="1132"/>
      <c r="D33" s="503">
        <f>SUM(D28:D32)</f>
        <v>0</v>
      </c>
      <c r="E33" s="157"/>
      <c r="F33" s="157">
        <f>SUM(F28:F32)</f>
        <v>0</v>
      </c>
      <c r="G33" s="219">
        <f>SUM(G28:G32)</f>
        <v>0</v>
      </c>
      <c r="H33" s="209">
        <f>SUM(H28:H32)</f>
        <v>150</v>
      </c>
      <c r="I33" s="210"/>
      <c r="J33" s="157">
        <f>SUM(J28:J32)</f>
        <v>0</v>
      </c>
      <c r="K33" s="526"/>
      <c r="L33" s="242"/>
      <c r="M33" s="546"/>
      <c r="N33" s="547"/>
    </row>
    <row r="34" spans="1:14" s="155" customFormat="1" hidden="1" x14ac:dyDescent="0.45">
      <c r="A34" s="231"/>
      <c r="B34" s="234"/>
      <c r="C34" s="156"/>
      <c r="D34" s="504"/>
      <c r="E34" s="154"/>
      <c r="F34" s="154"/>
      <c r="G34" s="220"/>
      <c r="H34" s="207"/>
      <c r="I34" s="211"/>
      <c r="J34" s="154"/>
      <c r="K34" s="527"/>
      <c r="L34" s="244"/>
      <c r="M34" s="207"/>
      <c r="N34" s="220"/>
    </row>
    <row r="35" spans="1:14" s="153" customFormat="1" hidden="1" x14ac:dyDescent="0.45">
      <c r="A35" s="230" t="s">
        <v>230</v>
      </c>
      <c r="B35" s="232" t="s">
        <v>231</v>
      </c>
      <c r="C35" s="237" t="str">
        <f>IF('LAMPIRAN I DONE'!F20="magister (S2)","S2",IF('LAMPIRAN I DONE'!F20="Doktor (S3)","S3",""))</f>
        <v>S2</v>
      </c>
      <c r="D35" s="237" t="s">
        <v>254</v>
      </c>
      <c r="E35" s="152"/>
      <c r="F35" s="152"/>
      <c r="G35" s="215"/>
      <c r="H35" s="205"/>
      <c r="I35" s="210"/>
      <c r="J35" s="152"/>
      <c r="K35" s="525"/>
      <c r="L35" s="242"/>
      <c r="M35" s="227"/>
      <c r="N35" s="215"/>
    </row>
    <row r="36" spans="1:14" s="155" customFormat="1" hidden="1" x14ac:dyDescent="0.45">
      <c r="A36" s="231">
        <v>1</v>
      </c>
      <c r="B36" s="233" t="s">
        <v>221</v>
      </c>
      <c r="C36" s="200"/>
      <c r="D36" s="1079"/>
      <c r="E36" s="1116"/>
      <c r="F36" s="517"/>
      <c r="G36" s="216"/>
      <c r="H36" s="1117">
        <f>45%*(200-D41)</f>
        <v>22.5</v>
      </c>
      <c r="I36" s="1119" t="s">
        <v>232</v>
      </c>
      <c r="J36" s="528" t="str">
        <f>IF('LAMPIRAN I DONE'!$F$21="asisten ahli",'LAMPIRAN I DONE'!$G$34,"")</f>
        <v/>
      </c>
      <c r="K36" s="1123" t="str">
        <f>IFERROR(J36+J37,"")</f>
        <v/>
      </c>
      <c r="L36" s="1114" t="str">
        <f>IFERROR(K36/H41,"")</f>
        <v/>
      </c>
      <c r="M36" s="1117"/>
      <c r="N36" s="1171"/>
    </row>
    <row r="37" spans="1:14" s="155" customFormat="1" hidden="1" x14ac:dyDescent="0.45">
      <c r="A37" s="231">
        <v>2</v>
      </c>
      <c r="B37" s="233" t="s">
        <v>223</v>
      </c>
      <c r="C37" s="200"/>
      <c r="D37" s="1075"/>
      <c r="E37" s="1116"/>
      <c r="F37" s="518"/>
      <c r="G37" s="217"/>
      <c r="H37" s="1118"/>
      <c r="I37" s="1120"/>
      <c r="J37" s="528" t="str">
        <f>IF('LAMPIRAN I DONE'!$F$21="asisten ahli",'LAMPIRAN I DONE'!$G$50,"")</f>
        <v/>
      </c>
      <c r="K37" s="1124"/>
      <c r="L37" s="1115"/>
      <c r="M37" s="1118"/>
      <c r="N37" s="1172"/>
    </row>
    <row r="38" spans="1:14" s="155" customFormat="1" hidden="1" x14ac:dyDescent="0.45">
      <c r="A38" s="231">
        <v>3</v>
      </c>
      <c r="B38" s="234" t="s">
        <v>224</v>
      </c>
      <c r="C38" s="156"/>
      <c r="D38" s="543"/>
      <c r="E38" s="541"/>
      <c r="F38" s="508"/>
      <c r="G38" s="218"/>
      <c r="H38" s="207">
        <f>35%*(200-D41)</f>
        <v>17.5</v>
      </c>
      <c r="I38" s="208" t="s">
        <v>233</v>
      </c>
      <c r="J38" s="528" t="str">
        <f>IF('LAMPIRAN I DONE'!$F$21="asisten ahli",'LAMPIRAN I DONE'!$G$76,"")</f>
        <v/>
      </c>
      <c r="K38" s="529" t="str">
        <f>J38</f>
        <v/>
      </c>
      <c r="L38" s="797" t="str">
        <f>IFERROR(K38/H41,"")</f>
        <v/>
      </c>
      <c r="M38" s="228"/>
      <c r="N38" s="226"/>
    </row>
    <row r="39" spans="1:14" s="155" customFormat="1" hidden="1" x14ac:dyDescent="0.45">
      <c r="A39" s="231">
        <v>4</v>
      </c>
      <c r="B39" s="234" t="s">
        <v>226</v>
      </c>
      <c r="C39" s="156"/>
      <c r="D39" s="543"/>
      <c r="E39" s="510"/>
      <c r="F39" s="508"/>
      <c r="G39" s="218"/>
      <c r="H39" s="207">
        <f>10%*(200-D41)</f>
        <v>5</v>
      </c>
      <c r="I39" s="208" t="s">
        <v>227</v>
      </c>
      <c r="J39" s="528" t="str">
        <f>IF('LAMPIRAN I DONE'!$F$21="asisten ahli",'LAMPIRAN I DONE'!$G$83,"")</f>
        <v/>
      </c>
      <c r="K39" s="529" t="str">
        <f>IF(J39="","",IF(J39&gt;(10/100*(H41)),(10/100*(H41)),J39))</f>
        <v/>
      </c>
      <c r="L39" s="797" t="str">
        <f>IFERROR(K39/H41,"")</f>
        <v/>
      </c>
      <c r="M39" s="228"/>
      <c r="N39" s="226"/>
    </row>
    <row r="40" spans="1:14" s="155" customFormat="1" hidden="1" x14ac:dyDescent="0.45">
      <c r="A40" s="231">
        <v>5</v>
      </c>
      <c r="B40" s="234" t="s">
        <v>228</v>
      </c>
      <c r="C40" s="156"/>
      <c r="D40" s="543"/>
      <c r="E40" s="510"/>
      <c r="F40" s="508"/>
      <c r="G40" s="218"/>
      <c r="H40" s="207">
        <f>10%*(200-D41)</f>
        <v>5</v>
      </c>
      <c r="I40" s="208" t="s">
        <v>227</v>
      </c>
      <c r="J40" s="528" t="str">
        <f>IF('LAMPIRAN I DONE'!$F$21="asisten ahli",'LAMPIRAN I DONE'!$G$96,"")</f>
        <v/>
      </c>
      <c r="K40" s="527" t="str">
        <f>IF(J39="","",IF(J39&gt;(10/100*(H41)),(10/100*(H41)),J39))</f>
        <v/>
      </c>
      <c r="L40" s="797" t="str">
        <f>IFERROR(K40/H41,"")</f>
        <v/>
      </c>
      <c r="M40" s="228"/>
      <c r="N40" s="226"/>
    </row>
    <row r="41" spans="1:14" s="158" customFormat="1" hidden="1" x14ac:dyDescent="0.45">
      <c r="A41" s="193"/>
      <c r="B41" s="1131" t="s">
        <v>229</v>
      </c>
      <c r="C41" s="1132"/>
      <c r="D41" s="503">
        <f>IF(D35="AA(100)",100,IF(D35="AA(150)",150,""))</f>
        <v>150</v>
      </c>
      <c r="E41" s="157"/>
      <c r="F41" s="157">
        <f>SUM(F36:F40)</f>
        <v>0</v>
      </c>
      <c r="G41" s="219">
        <f>SUM(G36:G40)</f>
        <v>0</v>
      </c>
      <c r="H41" s="209">
        <f>SUM(H36:H40)</f>
        <v>50</v>
      </c>
      <c r="I41" s="210"/>
      <c r="J41" s="157">
        <f>SUM(J36:J40)</f>
        <v>0</v>
      </c>
      <c r="K41" s="526">
        <f>SUM(K36:K40)</f>
        <v>0</v>
      </c>
      <c r="L41" s="242"/>
      <c r="M41" s="209"/>
      <c r="N41" s="219"/>
    </row>
    <row r="42" spans="1:14" s="155" customFormat="1" hidden="1" x14ac:dyDescent="0.45">
      <c r="A42" s="231"/>
      <c r="B42" s="234"/>
      <c r="C42" s="156"/>
      <c r="D42" s="504"/>
      <c r="E42" s="154"/>
      <c r="F42" s="154"/>
      <c r="G42" s="220"/>
      <c r="H42" s="207"/>
      <c r="I42" s="211"/>
      <c r="J42" s="154"/>
      <c r="K42" s="527"/>
      <c r="L42" s="244"/>
      <c r="M42" s="207"/>
      <c r="N42" s="220"/>
    </row>
    <row r="43" spans="1:14" s="153" customFormat="1" hidden="1" x14ac:dyDescent="0.45">
      <c r="A43" s="230" t="s">
        <v>234</v>
      </c>
      <c r="B43" s="232" t="s">
        <v>235</v>
      </c>
      <c r="C43" s="237" t="str">
        <f>IF('LAMPIRAN I DONE'!F20="magister (S2)","S2",IF('LAMPIRAN I DONE'!F20="Doktor (S3)","S3",""))</f>
        <v>S2</v>
      </c>
      <c r="D43" s="237" t="s">
        <v>254</v>
      </c>
      <c r="E43" s="152"/>
      <c r="F43" s="152"/>
      <c r="G43" s="215"/>
      <c r="H43" s="205"/>
      <c r="I43" s="210"/>
      <c r="J43" s="152"/>
      <c r="K43" s="525"/>
      <c r="L43" s="242"/>
      <c r="M43" s="227"/>
      <c r="N43" s="215"/>
    </row>
    <row r="44" spans="1:14" s="155" customFormat="1" hidden="1" x14ac:dyDescent="0.45">
      <c r="A44" s="231">
        <v>1</v>
      </c>
      <c r="B44" s="233" t="s">
        <v>221</v>
      </c>
      <c r="C44" s="200"/>
      <c r="D44" s="1079"/>
      <c r="E44" s="1116"/>
      <c r="F44" s="517"/>
      <c r="G44" s="216"/>
      <c r="H44" s="1117">
        <f>45%*(300-D49)</f>
        <v>67.5</v>
      </c>
      <c r="I44" s="1119" t="s">
        <v>232</v>
      </c>
      <c r="J44" s="528" t="str">
        <f>IF('LAMPIRAN I DONE'!$F$21="asisten ahli",'LAMPIRAN I DONE'!$G$34,"")</f>
        <v/>
      </c>
      <c r="K44" s="1123" t="str">
        <f>IFERROR(J44+J45,"")</f>
        <v/>
      </c>
      <c r="L44" s="1114" t="str">
        <f>IFERROR(K44/H49,"")</f>
        <v/>
      </c>
      <c r="M44" s="1117"/>
      <c r="N44" s="1171"/>
    </row>
    <row r="45" spans="1:14" s="155" customFormat="1" hidden="1" x14ac:dyDescent="0.45">
      <c r="A45" s="231">
        <v>2</v>
      </c>
      <c r="B45" s="233" t="s">
        <v>223</v>
      </c>
      <c r="C45" s="200"/>
      <c r="D45" s="1075"/>
      <c r="E45" s="1116"/>
      <c r="F45" s="518"/>
      <c r="G45" s="217"/>
      <c r="H45" s="1118"/>
      <c r="I45" s="1120"/>
      <c r="J45" s="528" t="str">
        <f>IF('LAMPIRAN I DONE'!$F$21="asisten ahli",'LAMPIRAN I DONE'!$G$50,"")</f>
        <v/>
      </c>
      <c r="K45" s="1124"/>
      <c r="L45" s="1115"/>
      <c r="M45" s="1118"/>
      <c r="N45" s="1172"/>
    </row>
    <row r="46" spans="1:14" s="155" customFormat="1" hidden="1" x14ac:dyDescent="0.45">
      <c r="A46" s="231">
        <v>3</v>
      </c>
      <c r="B46" s="234" t="s">
        <v>224</v>
      </c>
      <c r="C46" s="156"/>
      <c r="D46" s="543"/>
      <c r="E46" s="541"/>
      <c r="F46" s="508"/>
      <c r="G46" s="218"/>
      <c r="H46" s="207">
        <f>35%*(300-D49)</f>
        <v>52.5</v>
      </c>
      <c r="I46" s="208" t="s">
        <v>233</v>
      </c>
      <c r="J46" s="528" t="str">
        <f>IF('LAMPIRAN I DONE'!$F$21="asisten ahli",'LAMPIRAN I DONE'!$G$76,"")</f>
        <v/>
      </c>
      <c r="K46" s="529" t="str">
        <f>J46</f>
        <v/>
      </c>
      <c r="L46" s="797" t="str">
        <f>IFERROR(K46/H49,"")</f>
        <v/>
      </c>
      <c r="M46" s="228"/>
      <c r="N46" s="226"/>
    </row>
    <row r="47" spans="1:14" s="155" customFormat="1" hidden="1" x14ac:dyDescent="0.45">
      <c r="A47" s="231">
        <v>4</v>
      </c>
      <c r="B47" s="234" t="s">
        <v>226</v>
      </c>
      <c r="C47" s="156"/>
      <c r="D47" s="543"/>
      <c r="E47" s="510"/>
      <c r="F47" s="508"/>
      <c r="G47" s="218"/>
      <c r="H47" s="207">
        <f>10%*(300-D49)</f>
        <v>15</v>
      </c>
      <c r="I47" s="208" t="s">
        <v>227</v>
      </c>
      <c r="J47" s="528" t="str">
        <f>IF('LAMPIRAN I DONE'!$F$21="asisten ahli",'LAMPIRAN I DONE'!$G$83,"")</f>
        <v/>
      </c>
      <c r="K47" s="529" t="str">
        <f>IF(J47="","",IF(J47&gt;(10/100*(H49)),(10/100*(H49)),J47))</f>
        <v/>
      </c>
      <c r="L47" s="797" t="str">
        <f>IFERROR(K47/H49,"")</f>
        <v/>
      </c>
      <c r="M47" s="228"/>
      <c r="N47" s="226"/>
    </row>
    <row r="48" spans="1:14" s="155" customFormat="1" hidden="1" x14ac:dyDescent="0.45">
      <c r="A48" s="231">
        <v>5</v>
      </c>
      <c r="B48" s="234" t="s">
        <v>228</v>
      </c>
      <c r="C48" s="156"/>
      <c r="D48" s="543"/>
      <c r="E48" s="510"/>
      <c r="F48" s="508"/>
      <c r="G48" s="218"/>
      <c r="H48" s="207">
        <f>10%*(300-D49)</f>
        <v>15</v>
      </c>
      <c r="I48" s="208" t="s">
        <v>227</v>
      </c>
      <c r="J48" s="528" t="str">
        <f>IF('LAMPIRAN I DONE'!$F$21="asisten ahli",'LAMPIRAN I DONE'!$G$96,"")</f>
        <v/>
      </c>
      <c r="K48" s="527" t="str">
        <f>IF(J47="","",IF(J47&gt;(10/100*(H49)),(10/100*(H49)),J47))</f>
        <v/>
      </c>
      <c r="L48" s="797" t="str">
        <f>IFERROR(K48/H49,"")</f>
        <v/>
      </c>
      <c r="M48" s="228"/>
      <c r="N48" s="226"/>
    </row>
    <row r="49" spans="1:14" s="158" customFormat="1" hidden="1" x14ac:dyDescent="0.45">
      <c r="A49" s="193"/>
      <c r="B49" s="1131" t="s">
        <v>229</v>
      </c>
      <c r="C49" s="1132"/>
      <c r="D49" s="503">
        <f>IF(D43="AA(100)",100,IF(D43="AA(150)",150,""))</f>
        <v>150</v>
      </c>
      <c r="E49" s="157"/>
      <c r="F49" s="157">
        <f>SUM(F44:F48)</f>
        <v>0</v>
      </c>
      <c r="G49" s="219">
        <f>SUM(G44:G48)</f>
        <v>0</v>
      </c>
      <c r="H49" s="209">
        <f>SUM(H44:H48)</f>
        <v>150</v>
      </c>
      <c r="I49" s="210"/>
      <c r="J49" s="157">
        <f>SUM(J44:J48)</f>
        <v>0</v>
      </c>
      <c r="K49" s="526">
        <f>SUM(K44:K48)</f>
        <v>0</v>
      </c>
      <c r="L49" s="242"/>
      <c r="M49" s="209"/>
      <c r="N49" s="219"/>
    </row>
    <row r="50" spans="1:14" s="155" customFormat="1" x14ac:dyDescent="0.45">
      <c r="A50" s="231"/>
      <c r="B50" s="234"/>
      <c r="C50" s="156"/>
      <c r="D50" s="504"/>
      <c r="E50" s="154"/>
      <c r="F50" s="154"/>
      <c r="G50" s="220"/>
      <c r="H50" s="207"/>
      <c r="I50" s="211"/>
      <c r="J50" s="154"/>
      <c r="K50" s="527"/>
      <c r="L50" s="244"/>
      <c r="M50" s="207"/>
      <c r="N50" s="220"/>
    </row>
    <row r="51" spans="1:14" s="153" customFormat="1" x14ac:dyDescent="0.45">
      <c r="A51" s="230" t="s">
        <v>236</v>
      </c>
      <c r="B51" s="232" t="s">
        <v>852</v>
      </c>
      <c r="C51" s="237" t="str">
        <f>IF('LAMPIRAN I DONE'!F20="magister (S2)","S2",IF('LAMPIRAN I DONE'!F20="Doktor (S3)","S3",""))</f>
        <v>S2</v>
      </c>
      <c r="D51" s="505"/>
      <c r="E51" s="508"/>
      <c r="F51" s="152"/>
      <c r="G51" s="215"/>
      <c r="H51" s="205"/>
      <c r="I51" s="210"/>
      <c r="J51" s="152"/>
      <c r="K51" s="525"/>
      <c r="L51" s="242"/>
      <c r="M51" s="227"/>
      <c r="N51" s="215"/>
    </row>
    <row r="52" spans="1:14" s="155" customFormat="1" x14ac:dyDescent="0.45">
      <c r="A52" s="231">
        <v>1</v>
      </c>
      <c r="B52" s="235" t="s">
        <v>221</v>
      </c>
      <c r="C52" s="201"/>
      <c r="D52" s="1079"/>
      <c r="E52" s="1116"/>
      <c r="F52" s="517"/>
      <c r="G52" s="216"/>
      <c r="H52" s="1117">
        <f>40%*(400-D57)</f>
        <v>160</v>
      </c>
      <c r="I52" s="1119" t="s">
        <v>238</v>
      </c>
      <c r="J52" s="528">
        <f>'LAMPIRAN II DONE'!G35</f>
        <v>0</v>
      </c>
      <c r="K52" s="1123">
        <f>IFERROR(J52+J53,"")</f>
        <v>64</v>
      </c>
      <c r="L52" s="1114">
        <f>IFERROR(K52/H57,"")</f>
        <v>0.16</v>
      </c>
      <c r="M52" s="1121">
        <f>K52</f>
        <v>64</v>
      </c>
      <c r="N52" s="1112">
        <f>IFERROR(M52/H57,"")</f>
        <v>0.16</v>
      </c>
    </row>
    <row r="53" spans="1:14" s="155" customFormat="1" x14ac:dyDescent="0.45">
      <c r="A53" s="231">
        <v>2</v>
      </c>
      <c r="B53" s="235" t="s">
        <v>223</v>
      </c>
      <c r="C53" s="201"/>
      <c r="D53" s="1075"/>
      <c r="E53" s="1116"/>
      <c r="F53" s="518"/>
      <c r="G53" s="217"/>
      <c r="H53" s="1118"/>
      <c r="I53" s="1120"/>
      <c r="J53" s="528">
        <f>'LAMPIRAN II DONE'!G1157</f>
        <v>64</v>
      </c>
      <c r="K53" s="1124"/>
      <c r="L53" s="1115"/>
      <c r="M53" s="1122"/>
      <c r="N53" s="1113"/>
    </row>
    <row r="54" spans="1:14" s="155" customFormat="1" x14ac:dyDescent="0.45">
      <c r="A54" s="231">
        <v>3</v>
      </c>
      <c r="B54" s="236" t="s">
        <v>224</v>
      </c>
      <c r="C54" s="191"/>
      <c r="D54" s="543"/>
      <c r="E54" s="541"/>
      <c r="F54" s="508"/>
      <c r="G54" s="218"/>
      <c r="H54" s="207">
        <f>40%*(400-D57)</f>
        <v>160</v>
      </c>
      <c r="I54" s="208" t="s">
        <v>238</v>
      </c>
      <c r="J54" s="528">
        <f>'LAMPIRAN III DONE'!H185</f>
        <v>136.47</v>
      </c>
      <c r="K54" s="529">
        <f>J54</f>
        <v>136.47</v>
      </c>
      <c r="L54" s="797">
        <f>IFERROR(K54/H57,"")</f>
        <v>0.34117500000000001</v>
      </c>
      <c r="M54" s="535" t="e">
        <f>'Reviewer Eksternal (LK&amp;GB)1'!$K$139</f>
        <v>#REF!</v>
      </c>
      <c r="N54" s="536" t="str">
        <f>IFERROR(M54/H57,"")</f>
        <v/>
      </c>
    </row>
    <row r="55" spans="1:14" s="155" customFormat="1" x14ac:dyDescent="0.45">
      <c r="A55" s="231">
        <v>4</v>
      </c>
      <c r="B55" s="236" t="s">
        <v>226</v>
      </c>
      <c r="C55" s="191"/>
      <c r="D55" s="543"/>
      <c r="E55" s="510"/>
      <c r="F55" s="508"/>
      <c r="G55" s="218"/>
      <c r="H55" s="207">
        <f>10%*(400-D57)</f>
        <v>40</v>
      </c>
      <c r="I55" s="208" t="s">
        <v>227</v>
      </c>
      <c r="J55" s="528">
        <f>'LAMPIRAN IV DONE'!G85</f>
        <v>7</v>
      </c>
      <c r="K55" s="529">
        <f>IF(J55="","",IF(J55&gt;(10/100*(H57)),(10/100*(H57)),J55))</f>
        <v>7</v>
      </c>
      <c r="L55" s="797">
        <f>IFERROR(K55/H57,"")</f>
        <v>1.7500000000000002E-2</v>
      </c>
      <c r="M55" s="535">
        <f>K55</f>
        <v>7</v>
      </c>
      <c r="N55" s="536">
        <f>IFERROR(M55/H57,"")</f>
        <v>1.7500000000000002E-2</v>
      </c>
    </row>
    <row r="56" spans="1:14" s="155" customFormat="1" x14ac:dyDescent="0.45">
      <c r="A56" s="231">
        <v>5</v>
      </c>
      <c r="B56" s="236" t="s">
        <v>228</v>
      </c>
      <c r="C56" s="191"/>
      <c r="D56" s="543"/>
      <c r="E56" s="510"/>
      <c r="F56" s="508"/>
      <c r="G56" s="218"/>
      <c r="H56" s="207">
        <f>10%*(400-D57)</f>
        <v>40</v>
      </c>
      <c r="I56" s="208" t="s">
        <v>227</v>
      </c>
      <c r="J56" s="528">
        <f>'LAMPIRAN V DONE'!G157</f>
        <v>20</v>
      </c>
      <c r="K56" s="527">
        <f>IF(J56="","",IF(J56&gt;(10/100*(H57)),(10/100*(H57)),J56))</f>
        <v>20</v>
      </c>
      <c r="L56" s="797">
        <f>IFERROR(K56/H57,"")</f>
        <v>0.05</v>
      </c>
      <c r="M56" s="535">
        <f>K56</f>
        <v>20</v>
      </c>
      <c r="N56" s="536">
        <f>IFERROR(M56/H57,"")</f>
        <v>0.05</v>
      </c>
    </row>
    <row r="57" spans="1:14" s="158" customFormat="1" x14ac:dyDescent="0.45">
      <c r="A57" s="193"/>
      <c r="B57" s="1131" t="s">
        <v>229</v>
      </c>
      <c r="C57" s="1132"/>
      <c r="D57" s="503">
        <f>SUM(D52:D56)</f>
        <v>0</v>
      </c>
      <c r="E57" s="157"/>
      <c r="F57" s="157">
        <f t="shared" ref="F57:G57" si="0">SUM(F52:F56)</f>
        <v>0</v>
      </c>
      <c r="G57" s="219">
        <f t="shared" si="0"/>
        <v>0</v>
      </c>
      <c r="H57" s="209">
        <f>SUM(H52:H56)</f>
        <v>400</v>
      </c>
      <c r="I57" s="210"/>
      <c r="J57" s="157">
        <f>SUM(J52:J56)</f>
        <v>227.47</v>
      </c>
      <c r="K57" s="526"/>
      <c r="L57" s="242"/>
      <c r="M57" s="537" t="e">
        <f>SUM(M52:M56)</f>
        <v>#REF!</v>
      </c>
      <c r="N57" s="538"/>
    </row>
    <row r="58" spans="1:14" s="155" customFormat="1" x14ac:dyDescent="0.45">
      <c r="A58" s="231"/>
      <c r="B58" s="234"/>
      <c r="C58" s="156"/>
      <c r="D58" s="504"/>
      <c r="E58" s="154"/>
      <c r="F58" s="154"/>
      <c r="G58" s="220"/>
      <c r="H58" s="207"/>
      <c r="I58" s="211"/>
      <c r="J58" s="154"/>
      <c r="K58" s="527"/>
      <c r="L58" s="244"/>
      <c r="M58" s="539"/>
      <c r="N58" s="540"/>
    </row>
    <row r="59" spans="1:14" s="153" customFormat="1" x14ac:dyDescent="0.45">
      <c r="A59" s="230" t="s">
        <v>239</v>
      </c>
      <c r="B59" s="232" t="s">
        <v>853</v>
      </c>
      <c r="C59" s="237" t="str">
        <f>IF('LAMPIRAN I DONE'!F20="magister (S2)","S2",IF('LAMPIRAN I DONE'!F20="Doktor (S3)","S3",""))</f>
        <v>S2</v>
      </c>
      <c r="D59" s="506"/>
      <c r="E59" s="152"/>
      <c r="F59" s="152"/>
      <c r="G59" s="215"/>
      <c r="H59" s="205"/>
      <c r="I59" s="210"/>
      <c r="J59" s="152"/>
      <c r="K59" s="525"/>
      <c r="L59" s="242"/>
      <c r="M59" s="227"/>
      <c r="N59" s="215"/>
    </row>
    <row r="60" spans="1:14" s="155" customFormat="1" x14ac:dyDescent="0.45">
      <c r="A60" s="231">
        <v>1</v>
      </c>
      <c r="B60" s="233" t="s">
        <v>221</v>
      </c>
      <c r="C60" s="200"/>
      <c r="D60" s="1079"/>
      <c r="E60" s="1116"/>
      <c r="F60" s="517"/>
      <c r="G60" s="216"/>
      <c r="H60" s="1117">
        <f>40%*(550-D65)</f>
        <v>220</v>
      </c>
      <c r="I60" s="1119" t="s">
        <v>238</v>
      </c>
      <c r="J60" s="528">
        <f>J52</f>
        <v>0</v>
      </c>
      <c r="K60" s="1123">
        <f>IFERROR(J60+J61,"")</f>
        <v>64</v>
      </c>
      <c r="L60" s="1114">
        <f>IFERROR(K60/H65,"")</f>
        <v>0.11636363636363636</v>
      </c>
      <c r="M60" s="1121">
        <f>K60</f>
        <v>64</v>
      </c>
      <c r="N60" s="1112">
        <f>IFERROR(M60/H65,"")</f>
        <v>0.11636363636363636</v>
      </c>
    </row>
    <row r="61" spans="1:14" s="155" customFormat="1" x14ac:dyDescent="0.45">
      <c r="A61" s="231">
        <v>2</v>
      </c>
      <c r="B61" s="233" t="s">
        <v>223</v>
      </c>
      <c r="C61" s="200"/>
      <c r="D61" s="1075"/>
      <c r="E61" s="1116"/>
      <c r="F61" s="518"/>
      <c r="G61" s="217"/>
      <c r="H61" s="1118"/>
      <c r="I61" s="1120"/>
      <c r="J61" s="528">
        <f t="shared" ref="J61:J64" si="1">J53</f>
        <v>64</v>
      </c>
      <c r="K61" s="1124"/>
      <c r="L61" s="1115"/>
      <c r="M61" s="1122"/>
      <c r="N61" s="1113"/>
    </row>
    <row r="62" spans="1:14" s="155" customFormat="1" x14ac:dyDescent="0.45">
      <c r="A62" s="231">
        <v>3</v>
      </c>
      <c r="B62" s="234" t="s">
        <v>224</v>
      </c>
      <c r="C62" s="156"/>
      <c r="D62" s="543"/>
      <c r="E62" s="541"/>
      <c r="F62" s="508"/>
      <c r="G62" s="218"/>
      <c r="H62" s="207">
        <f>40%*(550-D65)</f>
        <v>220</v>
      </c>
      <c r="I62" s="208" t="s">
        <v>238</v>
      </c>
      <c r="J62" s="528">
        <f t="shared" si="1"/>
        <v>136.47</v>
      </c>
      <c r="K62" s="529">
        <f>J62</f>
        <v>136.47</v>
      </c>
      <c r="L62" s="797">
        <f>IFERROR(K62/H65,"")</f>
        <v>0.24812727272727272</v>
      </c>
      <c r="M62" s="535" t="e">
        <f>'Reviewer Eksternal (LK&amp;GB)1'!$K$139</f>
        <v>#REF!</v>
      </c>
      <c r="N62" s="536" t="str">
        <f>IFERROR(M62/H65,"")</f>
        <v/>
      </c>
    </row>
    <row r="63" spans="1:14" s="155" customFormat="1" x14ac:dyDescent="0.45">
      <c r="A63" s="231">
        <v>4</v>
      </c>
      <c r="B63" s="234" t="s">
        <v>226</v>
      </c>
      <c r="C63" s="156"/>
      <c r="D63" s="543"/>
      <c r="E63" s="510"/>
      <c r="F63" s="508"/>
      <c r="G63" s="218"/>
      <c r="H63" s="207">
        <f>10%*(550-D65)</f>
        <v>55</v>
      </c>
      <c r="I63" s="208" t="s">
        <v>227</v>
      </c>
      <c r="J63" s="528">
        <f t="shared" si="1"/>
        <v>7</v>
      </c>
      <c r="K63" s="529">
        <f>IF(J63="","",IF(J63&gt;(10/100*(H65)),(10/100*(H65)),J63))</f>
        <v>7</v>
      </c>
      <c r="L63" s="797">
        <f>IFERROR(K63/H65,"")</f>
        <v>1.2727272727272728E-2</v>
      </c>
      <c r="M63" s="535">
        <f>K63</f>
        <v>7</v>
      </c>
      <c r="N63" s="536">
        <f>IFERROR(M63/H65,"")</f>
        <v>1.2727272727272728E-2</v>
      </c>
    </row>
    <row r="64" spans="1:14" s="155" customFormat="1" x14ac:dyDescent="0.45">
      <c r="A64" s="231">
        <v>5</v>
      </c>
      <c r="B64" s="234" t="s">
        <v>228</v>
      </c>
      <c r="C64" s="156"/>
      <c r="D64" s="543"/>
      <c r="E64" s="510"/>
      <c r="F64" s="508"/>
      <c r="G64" s="218"/>
      <c r="H64" s="207">
        <f>10%*(550-D65)</f>
        <v>55</v>
      </c>
      <c r="I64" s="208" t="s">
        <v>227</v>
      </c>
      <c r="J64" s="528">
        <f t="shared" si="1"/>
        <v>20</v>
      </c>
      <c r="K64" s="527">
        <f>IF(J64="","",IF(J64&gt;(10/100*(H65)),(10/100*(H65)),J64))</f>
        <v>20</v>
      </c>
      <c r="L64" s="797">
        <f>IFERROR(K64/H65,"")</f>
        <v>3.6363636363636362E-2</v>
      </c>
      <c r="M64" s="535">
        <f>K64</f>
        <v>20</v>
      </c>
      <c r="N64" s="536">
        <f>IFERROR(M64/H65,"")</f>
        <v>3.6363636363636362E-2</v>
      </c>
    </row>
    <row r="65" spans="1:14" s="158" customFormat="1" x14ac:dyDescent="0.45">
      <c r="A65" s="193"/>
      <c r="B65" s="1131" t="s">
        <v>229</v>
      </c>
      <c r="C65" s="1132"/>
      <c r="D65" s="503">
        <f>SUM(D60:D64)</f>
        <v>0</v>
      </c>
      <c r="E65" s="157"/>
      <c r="F65" s="157">
        <f t="shared" ref="F65:G65" si="2">SUM(F60:F64)</f>
        <v>0</v>
      </c>
      <c r="G65" s="219">
        <f t="shared" si="2"/>
        <v>0</v>
      </c>
      <c r="H65" s="209">
        <f>SUM(H60:H64)</f>
        <v>550</v>
      </c>
      <c r="I65" s="210"/>
      <c r="J65" s="157">
        <f>SUM(J60:J64)</f>
        <v>227.47</v>
      </c>
      <c r="K65" s="526"/>
      <c r="L65" s="242"/>
      <c r="M65" s="537" t="e">
        <f>SUM(M60:M64)</f>
        <v>#REF!</v>
      </c>
      <c r="N65" s="538"/>
    </row>
    <row r="66" spans="1:14" s="155" customFormat="1" x14ac:dyDescent="0.45">
      <c r="A66" s="231"/>
      <c r="B66" s="234"/>
      <c r="C66" s="156"/>
      <c r="D66" s="504"/>
      <c r="E66" s="154"/>
      <c r="F66" s="154"/>
      <c r="G66" s="220"/>
      <c r="H66" s="207"/>
      <c r="I66" s="211"/>
      <c r="J66" s="154"/>
      <c r="K66" s="527"/>
      <c r="L66" s="244"/>
      <c r="M66" s="207"/>
      <c r="N66" s="220"/>
    </row>
    <row r="67" spans="1:14" s="153" customFormat="1" x14ac:dyDescent="0.45">
      <c r="A67" s="230" t="s">
        <v>241</v>
      </c>
      <c r="B67" s="232" t="s">
        <v>854</v>
      </c>
      <c r="C67" s="237" t="str">
        <f>IF('LAMPIRAN I DONE'!F20="magister (S2)","S2",IF('LAMPIRAN I DONE'!F20="Doktor (S3)","S3",""))</f>
        <v>S2</v>
      </c>
      <c r="D67" s="505"/>
      <c r="E67" s="508"/>
      <c r="F67" s="152"/>
      <c r="G67" s="215"/>
      <c r="H67" s="207"/>
      <c r="I67" s="210"/>
      <c r="J67" s="152"/>
      <c r="K67" s="525"/>
      <c r="L67" s="245"/>
      <c r="M67" s="227"/>
      <c r="N67" s="215"/>
    </row>
    <row r="68" spans="1:14" s="155" customFormat="1" x14ac:dyDescent="0.45">
      <c r="A68" s="231">
        <v>1</v>
      </c>
      <c r="B68" s="233" t="s">
        <v>221</v>
      </c>
      <c r="C68" s="200"/>
      <c r="D68" s="1079"/>
      <c r="E68" s="1116"/>
      <c r="F68" s="517"/>
      <c r="G68" s="216"/>
      <c r="H68" s="1117">
        <f>40%*(700-D73)</f>
        <v>280</v>
      </c>
      <c r="I68" s="1119" t="s">
        <v>238</v>
      </c>
      <c r="J68" s="528">
        <f>J60</f>
        <v>0</v>
      </c>
      <c r="K68" s="1123">
        <f>IFERROR(J68+J69,"")</f>
        <v>64</v>
      </c>
      <c r="L68" s="1114">
        <f>IFERROR(K68/H73,"")</f>
        <v>9.1428571428571428E-2</v>
      </c>
      <c r="M68" s="1121">
        <f>K68</f>
        <v>64</v>
      </c>
      <c r="N68" s="1112">
        <f>IFERROR(M68/H73,"")</f>
        <v>9.1428571428571428E-2</v>
      </c>
    </row>
    <row r="69" spans="1:14" s="155" customFormat="1" x14ac:dyDescent="0.45">
      <c r="A69" s="231">
        <v>2</v>
      </c>
      <c r="B69" s="233" t="s">
        <v>223</v>
      </c>
      <c r="C69" s="200"/>
      <c r="D69" s="1075"/>
      <c r="E69" s="1116"/>
      <c r="F69" s="518"/>
      <c r="G69" s="217"/>
      <c r="H69" s="1118"/>
      <c r="I69" s="1120"/>
      <c r="J69" s="528">
        <f t="shared" ref="J69:J72" si="3">J61</f>
        <v>64</v>
      </c>
      <c r="K69" s="1124"/>
      <c r="L69" s="1115"/>
      <c r="M69" s="1122"/>
      <c r="N69" s="1113"/>
    </row>
    <row r="70" spans="1:14" s="155" customFormat="1" x14ac:dyDescent="0.45">
      <c r="A70" s="231">
        <v>3</v>
      </c>
      <c r="B70" s="234" t="s">
        <v>224</v>
      </c>
      <c r="C70" s="156"/>
      <c r="D70" s="543"/>
      <c r="E70" s="541"/>
      <c r="F70" s="508"/>
      <c r="G70" s="218"/>
      <c r="H70" s="207">
        <f>40%*(700-D73)</f>
        <v>280</v>
      </c>
      <c r="I70" s="208" t="s">
        <v>238</v>
      </c>
      <c r="J70" s="528">
        <f t="shared" si="3"/>
        <v>136.47</v>
      </c>
      <c r="K70" s="529">
        <f>J70</f>
        <v>136.47</v>
      </c>
      <c r="L70" s="797">
        <f>IFERROR(K70/H73,"")</f>
        <v>0.19495714285714286</v>
      </c>
      <c r="M70" s="535" t="e">
        <f>'Reviewer Eksternal (LK&amp;GB)1'!$K$139</f>
        <v>#REF!</v>
      </c>
      <c r="N70" s="536" t="str">
        <f>IFERROR(M70/H73,"")</f>
        <v/>
      </c>
    </row>
    <row r="71" spans="1:14" s="155" customFormat="1" x14ac:dyDescent="0.45">
      <c r="A71" s="231">
        <v>4</v>
      </c>
      <c r="B71" s="234" t="s">
        <v>226</v>
      </c>
      <c r="C71" s="156"/>
      <c r="D71" s="543"/>
      <c r="E71" s="510"/>
      <c r="F71" s="508"/>
      <c r="G71" s="218"/>
      <c r="H71" s="207">
        <f>10%*(700-D73)</f>
        <v>70</v>
      </c>
      <c r="I71" s="208" t="s">
        <v>227</v>
      </c>
      <c r="J71" s="528">
        <f t="shared" si="3"/>
        <v>7</v>
      </c>
      <c r="K71" s="529">
        <f>IF(J71="","",IF(J71&gt;(10/100*(H73)),(10/100*(H73)),J71))</f>
        <v>7</v>
      </c>
      <c r="L71" s="797">
        <f>IFERROR(K71/H73,"")</f>
        <v>0.01</v>
      </c>
      <c r="M71" s="535">
        <f>K71</f>
        <v>7</v>
      </c>
      <c r="N71" s="536">
        <f>IFERROR(M71/H73,"")</f>
        <v>0.01</v>
      </c>
    </row>
    <row r="72" spans="1:14" s="155" customFormat="1" x14ac:dyDescent="0.45">
      <c r="A72" s="231">
        <v>5</v>
      </c>
      <c r="B72" s="234" t="s">
        <v>228</v>
      </c>
      <c r="C72" s="156"/>
      <c r="D72" s="543"/>
      <c r="E72" s="510"/>
      <c r="F72" s="508"/>
      <c r="G72" s="218"/>
      <c r="H72" s="207">
        <f>10%*(700-D73)</f>
        <v>70</v>
      </c>
      <c r="I72" s="208" t="s">
        <v>227</v>
      </c>
      <c r="J72" s="528">
        <f t="shared" si="3"/>
        <v>20</v>
      </c>
      <c r="K72" s="527">
        <f>IF(J72="","",IF(J72&gt;(10/100*(H73)),(10/100*(H73)),J72))</f>
        <v>20</v>
      </c>
      <c r="L72" s="797">
        <f>IFERROR(K72/H73,"")</f>
        <v>2.8571428571428571E-2</v>
      </c>
      <c r="M72" s="535">
        <f>K72</f>
        <v>20</v>
      </c>
      <c r="N72" s="536">
        <f>IFERROR(M72/H73,"")</f>
        <v>2.8571428571428571E-2</v>
      </c>
    </row>
    <row r="73" spans="1:14" s="158" customFormat="1" x14ac:dyDescent="0.45">
      <c r="A73" s="193"/>
      <c r="B73" s="1131" t="s">
        <v>229</v>
      </c>
      <c r="C73" s="1132"/>
      <c r="D73" s="503">
        <f>SUM(D68:D72)</f>
        <v>0</v>
      </c>
      <c r="E73" s="157"/>
      <c r="F73" s="157">
        <f t="shared" ref="F73:G73" si="4">SUM(F68:F72)</f>
        <v>0</v>
      </c>
      <c r="G73" s="219">
        <f t="shared" si="4"/>
        <v>0</v>
      </c>
      <c r="H73" s="209">
        <f>SUM(H68:H72)</f>
        <v>700</v>
      </c>
      <c r="I73" s="210"/>
      <c r="J73" s="157">
        <f>SUM(J68:J72)</f>
        <v>227.47</v>
      </c>
      <c r="K73" s="526"/>
      <c r="L73" s="242"/>
      <c r="M73" s="537" t="e">
        <f>SUM(M68:M72)</f>
        <v>#REF!</v>
      </c>
      <c r="N73" s="538"/>
    </row>
    <row r="74" spans="1:14" s="155" customFormat="1" x14ac:dyDescent="0.45">
      <c r="A74" s="231"/>
      <c r="B74" s="234"/>
      <c r="C74" s="156"/>
      <c r="D74" s="504"/>
      <c r="E74" s="154"/>
      <c r="F74" s="154"/>
      <c r="G74" s="220"/>
      <c r="H74" s="207"/>
      <c r="I74" s="211"/>
      <c r="J74" s="154"/>
      <c r="K74" s="527"/>
      <c r="L74" s="244"/>
      <c r="M74" s="207"/>
      <c r="N74" s="220"/>
    </row>
    <row r="75" spans="1:14" s="153" customFormat="1" x14ac:dyDescent="0.45">
      <c r="A75" s="230" t="s">
        <v>243</v>
      </c>
      <c r="B75" s="232" t="s">
        <v>855</v>
      </c>
      <c r="C75" s="237" t="str">
        <f>IF('LAMPIRAN I DONE'!F20="magister (S2)","S2",IF('LAMPIRAN I DONE'!F20="Doktor (S3)","S3",""))</f>
        <v>S2</v>
      </c>
      <c r="D75" s="505"/>
      <c r="E75" s="508"/>
      <c r="F75" s="152"/>
      <c r="G75" s="215"/>
      <c r="H75" s="205"/>
      <c r="I75" s="210"/>
      <c r="J75" s="152"/>
      <c r="K75" s="525"/>
      <c r="L75" s="242"/>
      <c r="M75" s="227"/>
      <c r="N75" s="215"/>
    </row>
    <row r="76" spans="1:14" s="155" customFormat="1" x14ac:dyDescent="0.45">
      <c r="A76" s="231">
        <v>1</v>
      </c>
      <c r="B76" s="233" t="s">
        <v>221</v>
      </c>
      <c r="C76" s="200"/>
      <c r="D76" s="1079"/>
      <c r="E76" s="1116"/>
      <c r="F76" s="517"/>
      <c r="G76" s="216"/>
      <c r="H76" s="1117">
        <f>(35%*(850-D81))</f>
        <v>297.5</v>
      </c>
      <c r="I76" s="1119" t="s">
        <v>233</v>
      </c>
      <c r="J76" s="528">
        <f>J68</f>
        <v>0</v>
      </c>
      <c r="K76" s="1123">
        <f>IFERROR(J76+J77,"")</f>
        <v>64</v>
      </c>
      <c r="L76" s="1114">
        <f>IFERROR(K76/H81,"")</f>
        <v>7.5294117647058817E-2</v>
      </c>
      <c r="M76" s="1121">
        <f>K76</f>
        <v>64</v>
      </c>
      <c r="N76" s="1112">
        <f>IFERROR(M76/H81,"")</f>
        <v>7.5294117647058817E-2</v>
      </c>
    </row>
    <row r="77" spans="1:14" s="155" customFormat="1" x14ac:dyDescent="0.45">
      <c r="A77" s="231">
        <v>2</v>
      </c>
      <c r="B77" s="233" t="s">
        <v>223</v>
      </c>
      <c r="C77" s="200"/>
      <c r="D77" s="1075"/>
      <c r="E77" s="1116"/>
      <c r="F77" s="518"/>
      <c r="G77" s="217"/>
      <c r="H77" s="1118"/>
      <c r="I77" s="1120"/>
      <c r="J77" s="528">
        <f t="shared" ref="J77:J80" si="5">J69</f>
        <v>64</v>
      </c>
      <c r="K77" s="1124"/>
      <c r="L77" s="1115"/>
      <c r="M77" s="1122"/>
      <c r="N77" s="1113"/>
    </row>
    <row r="78" spans="1:14" s="155" customFormat="1" x14ac:dyDescent="0.45">
      <c r="A78" s="231">
        <v>3</v>
      </c>
      <c r="B78" s="234" t="s">
        <v>224</v>
      </c>
      <c r="C78" s="156"/>
      <c r="D78" s="543"/>
      <c r="E78" s="541"/>
      <c r="F78" s="508"/>
      <c r="G78" s="218"/>
      <c r="H78" s="207">
        <f>45%*(850-D81)</f>
        <v>382.5</v>
      </c>
      <c r="I78" s="208" t="s">
        <v>232</v>
      </c>
      <c r="J78" s="528">
        <f t="shared" si="5"/>
        <v>136.47</v>
      </c>
      <c r="K78" s="529">
        <f>J78</f>
        <v>136.47</v>
      </c>
      <c r="L78" s="797">
        <f>IFERROR(K78/H81,"")</f>
        <v>0.16055294117647059</v>
      </c>
      <c r="M78" s="535" t="e">
        <f>'Reviewer Eksternal (LK&amp;GB)1'!$K$139</f>
        <v>#REF!</v>
      </c>
      <c r="N78" s="536" t="str">
        <f>IFERROR(M78/H81,"")</f>
        <v/>
      </c>
    </row>
    <row r="79" spans="1:14" s="155" customFormat="1" x14ac:dyDescent="0.45">
      <c r="A79" s="231">
        <v>4</v>
      </c>
      <c r="B79" s="234" t="s">
        <v>226</v>
      </c>
      <c r="C79" s="156"/>
      <c r="D79" s="543"/>
      <c r="E79" s="510"/>
      <c r="F79" s="508"/>
      <c r="G79" s="218"/>
      <c r="H79" s="207">
        <f>10%*(850-D81)</f>
        <v>85</v>
      </c>
      <c r="I79" s="208" t="s">
        <v>227</v>
      </c>
      <c r="J79" s="528">
        <f t="shared" si="5"/>
        <v>7</v>
      </c>
      <c r="K79" s="529">
        <f>IF(J79="","",IF(J79&gt;(10/100*(H81)),(10/100*(H81)),J79))</f>
        <v>7</v>
      </c>
      <c r="L79" s="797">
        <f>IFERROR(K79/H81,"")</f>
        <v>8.2352941176470594E-3</v>
      </c>
      <c r="M79" s="535">
        <f>K79</f>
        <v>7</v>
      </c>
      <c r="N79" s="536">
        <f>IFERROR(M79/H81,"")</f>
        <v>8.2352941176470594E-3</v>
      </c>
    </row>
    <row r="80" spans="1:14" s="155" customFormat="1" x14ac:dyDescent="0.45">
      <c r="A80" s="231">
        <v>5</v>
      </c>
      <c r="B80" s="234" t="s">
        <v>228</v>
      </c>
      <c r="C80" s="156"/>
      <c r="D80" s="543"/>
      <c r="E80" s="510"/>
      <c r="F80" s="508"/>
      <c r="G80" s="218"/>
      <c r="H80" s="207">
        <f>10%*(850-D81)</f>
        <v>85</v>
      </c>
      <c r="I80" s="208" t="s">
        <v>227</v>
      </c>
      <c r="J80" s="528">
        <f t="shared" si="5"/>
        <v>20</v>
      </c>
      <c r="K80" s="527">
        <f>IF(J80="","",IF(J80&gt;(10/100*(H81)),(10/100*(H81)),J80))</f>
        <v>20</v>
      </c>
      <c r="L80" s="797">
        <f>IFERROR(K80/H81,"")</f>
        <v>2.3529411764705882E-2</v>
      </c>
      <c r="M80" s="535">
        <f>K80</f>
        <v>20</v>
      </c>
      <c r="N80" s="536">
        <f>IFERROR(M80/H81,"")</f>
        <v>2.3529411764705882E-2</v>
      </c>
    </row>
    <row r="81" spans="1:14" s="158" customFormat="1" x14ac:dyDescent="0.45">
      <c r="A81" s="193"/>
      <c r="B81" s="1131" t="s">
        <v>229</v>
      </c>
      <c r="C81" s="1132"/>
      <c r="D81" s="507">
        <f>SUM(D76:D80)</f>
        <v>0</v>
      </c>
      <c r="E81" s="509"/>
      <c r="F81" s="157">
        <f t="shared" ref="F81:G81" si="6">SUM(F76:F80)</f>
        <v>0</v>
      </c>
      <c r="G81" s="219">
        <f t="shared" si="6"/>
        <v>0</v>
      </c>
      <c r="H81" s="209">
        <f>SUM(H76:H80)</f>
        <v>850</v>
      </c>
      <c r="I81" s="210"/>
      <c r="J81" s="157">
        <f>SUM(J76:J80)</f>
        <v>227.47</v>
      </c>
      <c r="K81" s="526"/>
      <c r="L81" s="242"/>
      <c r="M81" s="537" t="e">
        <f>SUM(M76:M80)</f>
        <v>#REF!</v>
      </c>
      <c r="N81" s="538"/>
    </row>
    <row r="82" spans="1:14" s="155" customFormat="1" x14ac:dyDescent="0.45">
      <c r="A82" s="231"/>
      <c r="B82" s="234"/>
      <c r="C82" s="156"/>
      <c r="D82" s="504"/>
      <c r="E82" s="154"/>
      <c r="F82" s="154"/>
      <c r="G82" s="220"/>
      <c r="H82" s="207"/>
      <c r="I82" s="211"/>
      <c r="J82" s="154"/>
      <c r="K82" s="527"/>
      <c r="L82" s="244"/>
      <c r="M82" s="207"/>
      <c r="N82" s="220"/>
    </row>
    <row r="83" spans="1:14" s="153" customFormat="1" x14ac:dyDescent="0.45">
      <c r="A83" s="229" t="s">
        <v>245</v>
      </c>
      <c r="B83" s="232" t="s">
        <v>856</v>
      </c>
      <c r="C83" s="237" t="str">
        <f>IF('LAMPIRAN I DONE'!F20="magister (S2)","S2",IF('LAMPIRAN I DONE'!F20="Doktor (S3)","S3",""))</f>
        <v>S2</v>
      </c>
      <c r="D83" s="505"/>
      <c r="E83" s="508"/>
      <c r="F83" s="152"/>
      <c r="G83" s="215"/>
      <c r="H83" s="205"/>
      <c r="I83" s="210"/>
      <c r="J83" s="152"/>
      <c r="K83" s="525"/>
      <c r="L83" s="242"/>
      <c r="M83" s="227"/>
      <c r="N83" s="215"/>
    </row>
    <row r="84" spans="1:14" s="155" customFormat="1" x14ac:dyDescent="0.45">
      <c r="A84" s="231">
        <v>1</v>
      </c>
      <c r="B84" s="233" t="s">
        <v>221</v>
      </c>
      <c r="C84" s="200"/>
      <c r="D84" s="1079"/>
      <c r="E84" s="1116"/>
      <c r="F84" s="517"/>
      <c r="G84" s="216"/>
      <c r="H84" s="1117">
        <f>35%*(1050-D89)</f>
        <v>367.5</v>
      </c>
      <c r="I84" s="1119" t="s">
        <v>233</v>
      </c>
      <c r="J84" s="528">
        <f>J76</f>
        <v>0</v>
      </c>
      <c r="K84" s="1123">
        <f>IFERROR(J84+J85,"")</f>
        <v>64</v>
      </c>
      <c r="L84" s="1114">
        <f>IFERROR(K84/H89,"")</f>
        <v>6.0952380952380952E-2</v>
      </c>
      <c r="M84" s="1121">
        <f>K84</f>
        <v>64</v>
      </c>
      <c r="N84" s="1112">
        <f>IFERROR(M84/H89,"")</f>
        <v>6.0952380952380952E-2</v>
      </c>
    </row>
    <row r="85" spans="1:14" s="155" customFormat="1" x14ac:dyDescent="0.45">
      <c r="A85" s="231">
        <v>2</v>
      </c>
      <c r="B85" s="233" t="s">
        <v>223</v>
      </c>
      <c r="C85" s="200"/>
      <c r="D85" s="1075"/>
      <c r="E85" s="1116"/>
      <c r="F85" s="518"/>
      <c r="G85" s="217"/>
      <c r="H85" s="1118"/>
      <c r="I85" s="1120"/>
      <c r="J85" s="528">
        <f t="shared" ref="J85:J88" si="7">J77</f>
        <v>64</v>
      </c>
      <c r="K85" s="1124"/>
      <c r="L85" s="1115"/>
      <c r="M85" s="1122"/>
      <c r="N85" s="1113"/>
    </row>
    <row r="86" spans="1:14" s="155" customFormat="1" x14ac:dyDescent="0.45">
      <c r="A86" s="231">
        <v>3</v>
      </c>
      <c r="B86" s="234" t="s">
        <v>224</v>
      </c>
      <c r="C86" s="156"/>
      <c r="D86" s="543"/>
      <c r="E86" s="541"/>
      <c r="F86" s="508"/>
      <c r="G86" s="218"/>
      <c r="H86" s="207">
        <f>45%*(1050-D89)</f>
        <v>472.5</v>
      </c>
      <c r="I86" s="208" t="s">
        <v>232</v>
      </c>
      <c r="J86" s="528">
        <f t="shared" si="7"/>
        <v>136.47</v>
      </c>
      <c r="K86" s="529">
        <f>J86</f>
        <v>136.47</v>
      </c>
      <c r="L86" s="797">
        <f>IFERROR(K86/H89,"")</f>
        <v>0.12997142857142857</v>
      </c>
      <c r="M86" s="535" t="e">
        <f>'Reviewer Eksternal (LK&amp;GB)1'!$K$139</f>
        <v>#REF!</v>
      </c>
      <c r="N86" s="536" t="str">
        <f>IFERROR(M86/H89,"")</f>
        <v/>
      </c>
    </row>
    <row r="87" spans="1:14" s="155" customFormat="1" x14ac:dyDescent="0.45">
      <c r="A87" s="231">
        <v>4</v>
      </c>
      <c r="B87" s="234" t="s">
        <v>226</v>
      </c>
      <c r="C87" s="156"/>
      <c r="D87" s="543"/>
      <c r="E87" s="510"/>
      <c r="F87" s="508"/>
      <c r="G87" s="218"/>
      <c r="H87" s="207">
        <f>10%*(1050-D89)</f>
        <v>105</v>
      </c>
      <c r="I87" s="208" t="s">
        <v>227</v>
      </c>
      <c r="J87" s="528">
        <f t="shared" si="7"/>
        <v>7</v>
      </c>
      <c r="K87" s="529">
        <f>IF(J87="","",IF(J87&gt;(10/100*(H89)),(10/100*(H89)),J87))</f>
        <v>7</v>
      </c>
      <c r="L87" s="797">
        <f>IFERROR(K87/H89,"")</f>
        <v>6.6666666666666671E-3</v>
      </c>
      <c r="M87" s="535">
        <f>K87</f>
        <v>7</v>
      </c>
      <c r="N87" s="536">
        <f>IFERROR(M87/H89,"")</f>
        <v>6.6666666666666671E-3</v>
      </c>
    </row>
    <row r="88" spans="1:14" s="155" customFormat="1" x14ac:dyDescent="0.45">
      <c r="A88" s="231">
        <v>5</v>
      </c>
      <c r="B88" s="234" t="s">
        <v>228</v>
      </c>
      <c r="C88" s="156"/>
      <c r="D88" s="543"/>
      <c r="E88" s="510"/>
      <c r="F88" s="508"/>
      <c r="G88" s="218"/>
      <c r="H88" s="207">
        <f>10%*(1050-D89)</f>
        <v>105</v>
      </c>
      <c r="I88" s="208" t="s">
        <v>227</v>
      </c>
      <c r="J88" s="528">
        <f t="shared" si="7"/>
        <v>20</v>
      </c>
      <c r="K88" s="527">
        <f>IF(J88="","",IF(J88&gt;(10/100*(H89)),(10/100*(H89)),J88))</f>
        <v>20</v>
      </c>
      <c r="L88" s="797">
        <f>IFERROR(K88/H89,"")</f>
        <v>1.9047619047619049E-2</v>
      </c>
      <c r="M88" s="535">
        <f>K88</f>
        <v>20</v>
      </c>
      <c r="N88" s="536">
        <f>IFERROR(M88/H89,"")</f>
        <v>1.9047619047619049E-2</v>
      </c>
    </row>
    <row r="89" spans="1:14" s="158" customFormat="1" ht="14.65" thickBot="1" x14ac:dyDescent="0.5">
      <c r="A89" s="193"/>
      <c r="B89" s="1127" t="s">
        <v>229</v>
      </c>
      <c r="C89" s="1128"/>
      <c r="D89" s="212">
        <f>SUM(D84:D88)</f>
        <v>0</v>
      </c>
      <c r="E89" s="221"/>
      <c r="F89" s="222">
        <f t="shared" ref="F89:G89" si="8">SUM(F84:F88)</f>
        <v>0</v>
      </c>
      <c r="G89" s="223">
        <f t="shared" si="8"/>
        <v>0</v>
      </c>
      <c r="H89" s="212">
        <f>SUM(H84:H88)</f>
        <v>1050</v>
      </c>
      <c r="I89" s="213"/>
      <c r="J89" s="222">
        <f>SUM(J84:J88)</f>
        <v>227.47</v>
      </c>
      <c r="K89" s="222"/>
      <c r="L89" s="246"/>
      <c r="M89" s="537" t="e">
        <f>SUM(M84:M88)</f>
        <v>#REF!</v>
      </c>
      <c r="N89" s="538"/>
    </row>
    <row r="91" spans="1:14" x14ac:dyDescent="0.45">
      <c r="B91" s="555" t="s">
        <v>615</v>
      </c>
    </row>
  </sheetData>
  <mergeCells count="103">
    <mergeCell ref="A2:M2"/>
    <mergeCell ref="A3:M3"/>
    <mergeCell ref="A4:M4"/>
    <mergeCell ref="B7:M7"/>
    <mergeCell ref="B8:C8"/>
    <mergeCell ref="B9:C9"/>
    <mergeCell ref="D15:F15"/>
    <mergeCell ref="G15:M15"/>
    <mergeCell ref="B16:C16"/>
    <mergeCell ref="D16:M16"/>
    <mergeCell ref="A17:A18"/>
    <mergeCell ref="B17:B18"/>
    <mergeCell ref="D17:M17"/>
    <mergeCell ref="B10:C10"/>
    <mergeCell ref="B11:C11"/>
    <mergeCell ref="B12:C12"/>
    <mergeCell ref="B13:C13"/>
    <mergeCell ref="B14:C14"/>
    <mergeCell ref="B15:C15"/>
    <mergeCell ref="B25:C25"/>
    <mergeCell ref="B26:C26"/>
    <mergeCell ref="D28:D29"/>
    <mergeCell ref="E28:E29"/>
    <mergeCell ref="H28:H29"/>
    <mergeCell ref="I28:I29"/>
    <mergeCell ref="B19:C19"/>
    <mergeCell ref="B21:N21"/>
    <mergeCell ref="A22:A24"/>
    <mergeCell ref="B22:C24"/>
    <mergeCell ref="D22:N22"/>
    <mergeCell ref="D23:G23"/>
    <mergeCell ref="H23:I23"/>
    <mergeCell ref="J23:L23"/>
    <mergeCell ref="M23:N23"/>
    <mergeCell ref="J24:K24"/>
    <mergeCell ref="K28:K29"/>
    <mergeCell ref="L28:L29"/>
    <mergeCell ref="M28:M29"/>
    <mergeCell ref="N28:N29"/>
    <mergeCell ref="B33:C33"/>
    <mergeCell ref="D36:D37"/>
    <mergeCell ref="E36:E37"/>
    <mergeCell ref="H36:H37"/>
    <mergeCell ref="I36:I37"/>
    <mergeCell ref="K36:K37"/>
    <mergeCell ref="L36:L37"/>
    <mergeCell ref="M36:M37"/>
    <mergeCell ref="N36:N37"/>
    <mergeCell ref="B41:C41"/>
    <mergeCell ref="D44:D45"/>
    <mergeCell ref="E44:E45"/>
    <mergeCell ref="H44:H45"/>
    <mergeCell ref="I44:I45"/>
    <mergeCell ref="K44:K45"/>
    <mergeCell ref="L44:L45"/>
    <mergeCell ref="M44:M45"/>
    <mergeCell ref="N44:N45"/>
    <mergeCell ref="B49:C49"/>
    <mergeCell ref="D52:D53"/>
    <mergeCell ref="E52:E53"/>
    <mergeCell ref="H52:H53"/>
    <mergeCell ref="I52:I53"/>
    <mergeCell ref="K52:K53"/>
    <mergeCell ref="L52:L53"/>
    <mergeCell ref="M52:M53"/>
    <mergeCell ref="B65:C65"/>
    <mergeCell ref="D68:D69"/>
    <mergeCell ref="E68:E69"/>
    <mergeCell ref="H68:H69"/>
    <mergeCell ref="I68:I69"/>
    <mergeCell ref="K68:K69"/>
    <mergeCell ref="N52:N53"/>
    <mergeCell ref="B57:C57"/>
    <mergeCell ref="D60:D61"/>
    <mergeCell ref="E60:E61"/>
    <mergeCell ref="H60:H61"/>
    <mergeCell ref="I60:I61"/>
    <mergeCell ref="K60:K61"/>
    <mergeCell ref="L60:L61"/>
    <mergeCell ref="M60:M61"/>
    <mergeCell ref="N60:N61"/>
    <mergeCell ref="L68:L69"/>
    <mergeCell ref="M68:M69"/>
    <mergeCell ref="N68:N69"/>
    <mergeCell ref="B73:C73"/>
    <mergeCell ref="D76:D77"/>
    <mergeCell ref="E76:E77"/>
    <mergeCell ref="H76:H77"/>
    <mergeCell ref="I76:I77"/>
    <mergeCell ref="K76:K77"/>
    <mergeCell ref="L76:L77"/>
    <mergeCell ref="N84:N85"/>
    <mergeCell ref="B89:C89"/>
    <mergeCell ref="M76:M77"/>
    <mergeCell ref="N76:N77"/>
    <mergeCell ref="B81:C81"/>
    <mergeCell ref="D84:D85"/>
    <mergeCell ref="E84:E85"/>
    <mergeCell ref="H84:H85"/>
    <mergeCell ref="I84:I85"/>
    <mergeCell ref="K84:K85"/>
    <mergeCell ref="L84:L85"/>
    <mergeCell ref="M84:M85"/>
  </mergeCells>
  <conditionalFormatting sqref="D86">
    <cfRule type="expression" dxfId="34" priority="35">
      <formula>D86=""</formula>
    </cfRule>
  </conditionalFormatting>
  <conditionalFormatting sqref="D87">
    <cfRule type="expression" dxfId="33" priority="34">
      <formula>D87=""</formula>
    </cfRule>
  </conditionalFormatting>
  <conditionalFormatting sqref="D88">
    <cfRule type="expression" dxfId="32" priority="33">
      <formula>D88=""</formula>
    </cfRule>
  </conditionalFormatting>
  <conditionalFormatting sqref="E86">
    <cfRule type="expression" dxfId="31" priority="32">
      <formula>E86=""</formula>
    </cfRule>
  </conditionalFormatting>
  <conditionalFormatting sqref="E78">
    <cfRule type="expression" dxfId="30" priority="31">
      <formula>E78=""</formula>
    </cfRule>
  </conditionalFormatting>
  <conditionalFormatting sqref="E70">
    <cfRule type="expression" dxfId="29" priority="30">
      <formula>E70=""</formula>
    </cfRule>
  </conditionalFormatting>
  <conditionalFormatting sqref="E62">
    <cfRule type="expression" dxfId="28" priority="29">
      <formula>E62=""</formula>
    </cfRule>
  </conditionalFormatting>
  <conditionalFormatting sqref="E54">
    <cfRule type="expression" dxfId="27" priority="28">
      <formula>E54=""</formula>
    </cfRule>
  </conditionalFormatting>
  <conditionalFormatting sqref="E46">
    <cfRule type="expression" dxfId="26" priority="27">
      <formula>E46=""</formula>
    </cfRule>
  </conditionalFormatting>
  <conditionalFormatting sqref="E38">
    <cfRule type="expression" dxfId="25" priority="26">
      <formula>E38=""</formula>
    </cfRule>
  </conditionalFormatting>
  <conditionalFormatting sqref="D84">
    <cfRule type="expression" dxfId="24" priority="25">
      <formula>D84=""</formula>
    </cfRule>
  </conditionalFormatting>
  <conditionalFormatting sqref="D36">
    <cfRule type="expression" dxfId="23" priority="1">
      <formula>D36=""</formula>
    </cfRule>
  </conditionalFormatting>
  <conditionalFormatting sqref="D78">
    <cfRule type="expression" dxfId="22" priority="24">
      <formula>D78=""</formula>
    </cfRule>
  </conditionalFormatting>
  <conditionalFormatting sqref="D79">
    <cfRule type="expression" dxfId="21" priority="23">
      <formula>D79=""</formula>
    </cfRule>
  </conditionalFormatting>
  <conditionalFormatting sqref="D80">
    <cfRule type="expression" dxfId="20" priority="22">
      <formula>D80=""</formula>
    </cfRule>
  </conditionalFormatting>
  <conditionalFormatting sqref="D76">
    <cfRule type="expression" dxfId="19" priority="21">
      <formula>D76=""</formula>
    </cfRule>
  </conditionalFormatting>
  <conditionalFormatting sqref="D70">
    <cfRule type="expression" dxfId="18" priority="20">
      <formula>D70=""</formula>
    </cfRule>
  </conditionalFormatting>
  <conditionalFormatting sqref="D71">
    <cfRule type="expression" dxfId="17" priority="19">
      <formula>D71=""</formula>
    </cfRule>
  </conditionalFormatting>
  <conditionalFormatting sqref="D72">
    <cfRule type="expression" dxfId="16" priority="18">
      <formula>D72=""</formula>
    </cfRule>
  </conditionalFormatting>
  <conditionalFormatting sqref="D68">
    <cfRule type="expression" dxfId="15" priority="17">
      <formula>D68=""</formula>
    </cfRule>
  </conditionalFormatting>
  <conditionalFormatting sqref="D62">
    <cfRule type="expression" dxfId="14" priority="16">
      <formula>D62=""</formula>
    </cfRule>
  </conditionalFormatting>
  <conditionalFormatting sqref="D63">
    <cfRule type="expression" dxfId="13" priority="15">
      <formula>D63=""</formula>
    </cfRule>
  </conditionalFormatting>
  <conditionalFormatting sqref="D64">
    <cfRule type="expression" dxfId="12" priority="14">
      <formula>D64=""</formula>
    </cfRule>
  </conditionalFormatting>
  <conditionalFormatting sqref="D60">
    <cfRule type="expression" dxfId="11" priority="13">
      <formula>D60=""</formula>
    </cfRule>
  </conditionalFormatting>
  <conditionalFormatting sqref="D54">
    <cfRule type="expression" dxfId="10" priority="12">
      <formula>D54=""</formula>
    </cfRule>
  </conditionalFormatting>
  <conditionalFormatting sqref="D55">
    <cfRule type="expression" dxfId="9" priority="11">
      <formula>D55=""</formula>
    </cfRule>
  </conditionalFormatting>
  <conditionalFormatting sqref="D56">
    <cfRule type="expression" dxfId="8" priority="10">
      <formula>D56=""</formula>
    </cfRule>
  </conditionalFormatting>
  <conditionalFormatting sqref="D52">
    <cfRule type="expression" dxfId="7" priority="9">
      <formula>D52=""</formula>
    </cfRule>
  </conditionalFormatting>
  <conditionalFormatting sqref="D46">
    <cfRule type="expression" dxfId="6" priority="8">
      <formula>D46=""</formula>
    </cfRule>
  </conditionalFormatting>
  <conditionalFormatting sqref="D47">
    <cfRule type="expression" dxfId="5" priority="7">
      <formula>D47=""</formula>
    </cfRule>
  </conditionalFormatting>
  <conditionalFormatting sqref="D48">
    <cfRule type="expression" dxfId="4" priority="6">
      <formula>D48=""</formula>
    </cfRule>
  </conditionalFormatting>
  <conditionalFormatting sqref="D44">
    <cfRule type="expression" dxfId="3" priority="5">
      <formula>D44=""</formula>
    </cfRule>
  </conditionalFormatting>
  <conditionalFormatting sqref="D38">
    <cfRule type="expression" dxfId="2" priority="4">
      <formula>D38=""</formula>
    </cfRule>
  </conditionalFormatting>
  <conditionalFormatting sqref="D39">
    <cfRule type="expression" dxfId="1" priority="3">
      <formula>D39=""</formula>
    </cfRule>
  </conditionalFormatting>
  <conditionalFormatting sqref="D40">
    <cfRule type="expression" dxfId="0" priority="2">
      <formula>D40=""</formula>
    </cfRule>
  </conditionalFormatting>
  <dataValidations count="2">
    <dataValidation type="list" allowBlank="1" showInputMessage="1" showErrorMessage="1" sqref="M27" xr:uid="{00000000-0002-0000-0900-000000000000}">
      <formula1>#REF!</formula1>
    </dataValidation>
    <dataValidation type="list" allowBlank="1" showInputMessage="1" showErrorMessage="1" sqref="D35 D43" xr:uid="{00000000-0002-0000-0900-000001000000}">
      <formula1>"AA(100),AA(150)"</formula1>
    </dataValidation>
  </dataValidations>
  <pageMargins left="0.7" right="0.7" top="0.75" bottom="0.75" header="0.3" footer="0.3"/>
  <pageSetup orientation="portrait" horizontalDpi="4294967293" verticalDpi="4294967293"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
  <dimension ref="A1:X29"/>
  <sheetViews>
    <sheetView topLeftCell="E1" workbookViewId="0">
      <selection activeCell="E4" sqref="E4"/>
    </sheetView>
  </sheetViews>
  <sheetFormatPr defaultRowHeight="14.25" x14ac:dyDescent="0.45"/>
  <cols>
    <col min="1" max="1" width="14.53125" customWidth="1"/>
    <col min="2" max="2" width="34" customWidth="1"/>
    <col min="3" max="3" width="49" customWidth="1"/>
    <col min="4" max="4" width="113.46484375" bestFit="1" customWidth="1"/>
    <col min="5" max="5" width="164.53125" customWidth="1"/>
    <col min="8" max="8" width="14.53125" customWidth="1"/>
    <col min="9" max="9" width="12.796875" customWidth="1"/>
    <col min="11" max="11" width="20.73046875" bestFit="1" customWidth="1"/>
  </cols>
  <sheetData>
    <row r="1" spans="1:24" x14ac:dyDescent="0.45">
      <c r="B1">
        <f>COUNTIF(A2:A4,"&lt;&gt;-")</f>
        <v>3</v>
      </c>
    </row>
    <row r="2" spans="1:24" x14ac:dyDescent="0.45">
      <c r="A2" t="str">
        <f>IF('LAMPIRAN I DONE'!F21="lektor kepala","GURU BESAR (IV/d)",IF('LAMPIRAN I DONE'!F21="lektor","LEKTOR KEPALA (IV/a)",IF('LAMPIRAN I DONE'!F21="asisten ahli","LEKTOR (III/c)",IF('LAMPIRAN I DONE'!F21="tenaga pengajar","ASISTEN AHLI (III/b)","-"))))</f>
        <v>LEKTOR KEPALA (IV/a)</v>
      </c>
      <c r="B2" t="s">
        <v>66</v>
      </c>
      <c r="C2" t="s">
        <v>553</v>
      </c>
      <c r="D2" t="s">
        <v>524</v>
      </c>
      <c r="E2" s="74" t="s">
        <v>287</v>
      </c>
      <c r="F2">
        <v>40</v>
      </c>
      <c r="G2" t="s">
        <v>592</v>
      </c>
      <c r="K2" t="s">
        <v>220</v>
      </c>
      <c r="L2">
        <v>0</v>
      </c>
      <c r="M2">
        <v>0</v>
      </c>
      <c r="N2" t="s">
        <v>222</v>
      </c>
      <c r="O2" t="s">
        <v>225</v>
      </c>
      <c r="P2" t="s">
        <v>227</v>
      </c>
      <c r="Q2" t="s">
        <v>227</v>
      </c>
      <c r="R2" s="498">
        <f>'Rekapitulasi (S3)'!D33</f>
        <v>0</v>
      </c>
      <c r="S2" s="497">
        <f>W2</f>
        <v>0</v>
      </c>
      <c r="T2" s="497">
        <f>'Rekapitulasi (S3)'!D30</f>
        <v>0</v>
      </c>
      <c r="U2" s="497">
        <f>'Rekapitulasi (S3)'!D31</f>
        <v>0</v>
      </c>
      <c r="V2" s="497">
        <f>'Rekapitulasi (S3)'!D32</f>
        <v>0</v>
      </c>
      <c r="W2" s="497">
        <f>'Rekapitulasi (S3)'!E28</f>
        <v>0</v>
      </c>
      <c r="X2" s="497">
        <f>'Rekapitulasi (S3)'!E30</f>
        <v>0</v>
      </c>
    </row>
    <row r="3" spans="1:24" x14ac:dyDescent="0.45">
      <c r="A3" t="str">
        <f>IF('LAMPIRAN I DONE'!F21="lektor kepala","GURU BESAR (IV/e)",IF('LAMPIRAN I DONE'!F21="lektor","LEKTOR KEPALA (IV/b)",IF('LAMPIRAN I DONE'!F21="asisten ahli","LEKTOR (III/d)",IF('LAMPIRAN I DONE'!F21="tenaga pengajar","-","-"))))</f>
        <v>LEKTOR KEPALA (IV/b)</v>
      </c>
      <c r="B3" t="s">
        <v>297</v>
      </c>
      <c r="C3" t="s">
        <v>554</v>
      </c>
      <c r="D3" t="s">
        <v>525</v>
      </c>
      <c r="E3" s="74" t="s">
        <v>288</v>
      </c>
      <c r="F3">
        <v>20</v>
      </c>
      <c r="G3" t="s">
        <v>593</v>
      </c>
      <c r="H3" t="s">
        <v>494</v>
      </c>
      <c r="I3">
        <v>1</v>
      </c>
      <c r="J3">
        <v>2001</v>
      </c>
      <c r="K3" t="s">
        <v>231</v>
      </c>
      <c r="L3">
        <v>0</v>
      </c>
      <c r="M3">
        <v>0</v>
      </c>
      <c r="N3" t="s">
        <v>232</v>
      </c>
      <c r="O3" t="s">
        <v>233</v>
      </c>
      <c r="P3" t="s">
        <v>227</v>
      </c>
      <c r="Q3" t="s">
        <v>227</v>
      </c>
      <c r="R3" s="498">
        <f>'Rekapitulasi (S3)'!D41</f>
        <v>150</v>
      </c>
      <c r="S3" s="497">
        <f>'Rekapitulasi (S3)'!D36</f>
        <v>0</v>
      </c>
      <c r="T3" s="497">
        <f>'Rekapitulasi (S3)'!D38</f>
        <v>0</v>
      </c>
      <c r="U3" s="497">
        <f>'Rekapitulasi (S3)'!D39</f>
        <v>0</v>
      </c>
      <c r="V3" s="497">
        <f>'Rekapitulasi (S3)'!D40</f>
        <v>0</v>
      </c>
      <c r="W3" s="497">
        <f>'Rekapitulasi (S3)'!E36</f>
        <v>0</v>
      </c>
      <c r="X3" s="497">
        <f>'Rekapitulasi (S3)'!E38</f>
        <v>0</v>
      </c>
    </row>
    <row r="4" spans="1:24" x14ac:dyDescent="0.45">
      <c r="A4" t="str">
        <f>IF('LAMPIRAN I DONE'!F21="lektor kepala","-",IF('LAMPIRAN I DONE'!F21="lektor","LEKTOR KEPALA (IV/c)",IF('LAMPIRAN I DONE'!F21="asisten ahli","-",IF('LAMPIRAN I DONE'!F21="tenaga pengajar","-","-"))))</f>
        <v>LEKTOR KEPALA (IV/c)</v>
      </c>
      <c r="B4" t="s">
        <v>272</v>
      </c>
      <c r="C4" t="s">
        <v>555</v>
      </c>
      <c r="D4" t="s">
        <v>526</v>
      </c>
      <c r="E4" s="74" t="s">
        <v>506</v>
      </c>
      <c r="F4">
        <v>15</v>
      </c>
      <c r="G4" t="s">
        <v>592</v>
      </c>
      <c r="H4" t="s">
        <v>495</v>
      </c>
      <c r="I4">
        <v>2</v>
      </c>
      <c r="J4">
        <v>2002</v>
      </c>
      <c r="K4" t="s">
        <v>235</v>
      </c>
      <c r="L4">
        <v>90</v>
      </c>
      <c r="M4">
        <v>10</v>
      </c>
      <c r="N4" t="s">
        <v>232</v>
      </c>
      <c r="O4" t="s">
        <v>233</v>
      </c>
      <c r="P4" t="s">
        <v>227</v>
      </c>
      <c r="Q4" t="s">
        <v>227</v>
      </c>
      <c r="R4" s="498">
        <f>'Rekapitulasi (S3)'!D49</f>
        <v>150</v>
      </c>
      <c r="S4" s="497">
        <f>'Rekapitulasi (S3)'!D44</f>
        <v>0</v>
      </c>
      <c r="T4" s="497">
        <f>'Rekapitulasi (S3)'!D46</f>
        <v>0</v>
      </c>
      <c r="U4" s="497">
        <f>'Rekapitulasi (S3)'!D47</f>
        <v>0</v>
      </c>
      <c r="V4" s="497">
        <f>'Rekapitulasi (S3)'!D48</f>
        <v>0</v>
      </c>
      <c r="W4" s="497">
        <f>'Rekapitulasi (S3)'!E44</f>
        <v>0</v>
      </c>
      <c r="X4" s="497">
        <f>'Rekapitulasi (S3)'!E46</f>
        <v>0</v>
      </c>
    </row>
    <row r="5" spans="1:24" x14ac:dyDescent="0.45">
      <c r="B5" t="s">
        <v>273</v>
      </c>
      <c r="C5" t="s">
        <v>556</v>
      </c>
      <c r="D5" t="s">
        <v>527</v>
      </c>
      <c r="E5" s="74" t="s">
        <v>507</v>
      </c>
      <c r="F5">
        <v>10</v>
      </c>
      <c r="G5" t="s">
        <v>592</v>
      </c>
      <c r="H5" t="s">
        <v>496</v>
      </c>
      <c r="I5">
        <v>3</v>
      </c>
      <c r="J5">
        <v>2003</v>
      </c>
      <c r="K5" t="s">
        <v>237</v>
      </c>
      <c r="L5">
        <v>180</v>
      </c>
      <c r="M5">
        <v>20</v>
      </c>
      <c r="N5" t="s">
        <v>238</v>
      </c>
      <c r="O5" t="s">
        <v>238</v>
      </c>
      <c r="P5" t="s">
        <v>227</v>
      </c>
      <c r="Q5" t="s">
        <v>227</v>
      </c>
      <c r="R5" s="498">
        <f>'Rekapitulasi (S3)'!D57</f>
        <v>0</v>
      </c>
      <c r="S5" s="497">
        <f>'Rekapitulasi (S3)'!D52</f>
        <v>0</v>
      </c>
      <c r="T5" s="497">
        <f>'Rekapitulasi (S3)'!D54</f>
        <v>0</v>
      </c>
      <c r="U5" s="497">
        <f>'Rekapitulasi (S3)'!D55</f>
        <v>0</v>
      </c>
      <c r="V5" s="497">
        <f>'Rekapitulasi (S3)'!D56</f>
        <v>0</v>
      </c>
      <c r="W5" s="497">
        <f>'Rekapitulasi (S3)'!E52</f>
        <v>0</v>
      </c>
      <c r="X5" s="497">
        <f>'Rekapitulasi (S3)'!E54</f>
        <v>0</v>
      </c>
    </row>
    <row r="6" spans="1:24" x14ac:dyDescent="0.45">
      <c r="B6" t="s">
        <v>274</v>
      </c>
      <c r="C6" t="s">
        <v>557</v>
      </c>
      <c r="D6" t="s">
        <v>528</v>
      </c>
      <c r="E6" s="74" t="s">
        <v>508</v>
      </c>
      <c r="F6">
        <v>40</v>
      </c>
      <c r="G6" t="s">
        <v>594</v>
      </c>
      <c r="H6" t="s">
        <v>497</v>
      </c>
      <c r="I6">
        <v>4</v>
      </c>
      <c r="J6">
        <v>2004</v>
      </c>
      <c r="K6" t="s">
        <v>240</v>
      </c>
      <c r="L6">
        <v>315</v>
      </c>
      <c r="M6">
        <v>35</v>
      </c>
      <c r="N6" t="s">
        <v>238</v>
      </c>
      <c r="O6" t="s">
        <v>238</v>
      </c>
      <c r="P6" t="s">
        <v>227</v>
      </c>
      <c r="Q6" t="s">
        <v>227</v>
      </c>
      <c r="R6" s="498">
        <f>'Rekapitulasi (S3)'!D65</f>
        <v>0</v>
      </c>
      <c r="S6" s="497">
        <f>'Rekapitulasi (S3)'!D60</f>
        <v>0</v>
      </c>
      <c r="T6" s="497">
        <f>'Rekapitulasi (S3)'!D62</f>
        <v>0</v>
      </c>
      <c r="U6" s="497">
        <f>'Rekapitulasi (S3)'!D63</f>
        <v>0</v>
      </c>
      <c r="V6" s="497">
        <f>'Rekapitulasi (S3)'!D64</f>
        <v>0</v>
      </c>
      <c r="W6" s="497">
        <f>'Rekapitulasi (S3)'!E60</f>
        <v>0</v>
      </c>
      <c r="X6" s="497">
        <f>'Rekapitulasi (S3)'!E62</f>
        <v>0</v>
      </c>
    </row>
    <row r="7" spans="1:24" x14ac:dyDescent="0.45">
      <c r="B7" t="s">
        <v>275</v>
      </c>
      <c r="C7" t="s">
        <v>558</v>
      </c>
      <c r="D7" t="s">
        <v>529</v>
      </c>
      <c r="E7" s="74" t="s">
        <v>509</v>
      </c>
      <c r="F7">
        <v>30</v>
      </c>
      <c r="G7" t="s">
        <v>594</v>
      </c>
      <c r="H7" t="s">
        <v>498</v>
      </c>
      <c r="I7">
        <v>5</v>
      </c>
      <c r="J7">
        <v>2005</v>
      </c>
      <c r="K7" t="s">
        <v>242</v>
      </c>
      <c r="L7">
        <v>450</v>
      </c>
      <c r="M7">
        <v>50</v>
      </c>
      <c r="N7" t="s">
        <v>238</v>
      </c>
      <c r="O7" t="s">
        <v>238</v>
      </c>
      <c r="P7" t="s">
        <v>227</v>
      </c>
      <c r="Q7" t="s">
        <v>227</v>
      </c>
      <c r="R7" s="498">
        <f>'Rekapitulasi (S3)'!D73</f>
        <v>0</v>
      </c>
      <c r="S7" s="497">
        <f>'Rekapitulasi (S3)'!D68</f>
        <v>0</v>
      </c>
      <c r="T7" s="497">
        <f>'Rekapitulasi (S3)'!D70</f>
        <v>0</v>
      </c>
      <c r="U7" s="497">
        <f>'Rekapitulasi (S3)'!D71</f>
        <v>0</v>
      </c>
      <c r="V7" s="497">
        <f>'Rekapitulasi (S3)'!D72</f>
        <v>0</v>
      </c>
      <c r="W7" s="497">
        <f>'Rekapitulasi (S3)'!E68</f>
        <v>0</v>
      </c>
      <c r="X7" s="497">
        <f>'Rekapitulasi (S3)'!E70</f>
        <v>0</v>
      </c>
    </row>
    <row r="8" spans="1:24" x14ac:dyDescent="0.45">
      <c r="B8" t="s">
        <v>276</v>
      </c>
      <c r="C8" t="s">
        <v>559</v>
      </c>
      <c r="D8" t="s">
        <v>530</v>
      </c>
      <c r="E8" s="74" t="s">
        <v>510</v>
      </c>
      <c r="F8">
        <v>20</v>
      </c>
      <c r="G8" t="s">
        <v>594</v>
      </c>
      <c r="H8" t="s">
        <v>499</v>
      </c>
      <c r="I8">
        <v>6</v>
      </c>
      <c r="J8">
        <v>2006</v>
      </c>
      <c r="K8" t="s">
        <v>244</v>
      </c>
      <c r="L8">
        <v>585</v>
      </c>
      <c r="M8">
        <v>65</v>
      </c>
      <c r="N8" t="s">
        <v>233</v>
      </c>
      <c r="O8" t="s">
        <v>232</v>
      </c>
      <c r="P8" t="s">
        <v>227</v>
      </c>
      <c r="Q8" t="s">
        <v>227</v>
      </c>
      <c r="R8" s="498">
        <f>'Rekapitulasi (S3)'!D81</f>
        <v>0</v>
      </c>
      <c r="S8" s="497">
        <f>'Rekapitulasi (S3)'!D76</f>
        <v>0</v>
      </c>
      <c r="T8" s="497">
        <f>'Rekapitulasi (S3)'!D78</f>
        <v>0</v>
      </c>
      <c r="U8" s="497">
        <f>'Rekapitulasi (S3)'!D79</f>
        <v>0</v>
      </c>
      <c r="V8" s="497">
        <f>'Rekapitulasi (S3)'!D80</f>
        <v>0</v>
      </c>
      <c r="W8" s="497">
        <f>'Rekapitulasi (S3)'!E76</f>
        <v>0</v>
      </c>
      <c r="X8" s="497">
        <f>'Rekapitulasi (S3)'!E78</f>
        <v>0</v>
      </c>
    </row>
    <row r="9" spans="1:24" x14ac:dyDescent="0.45">
      <c r="B9" t="s">
        <v>277</v>
      </c>
      <c r="C9" t="s">
        <v>560</v>
      </c>
      <c r="D9" t="s">
        <v>531</v>
      </c>
      <c r="E9" s="74" t="s">
        <v>511</v>
      </c>
      <c r="F9">
        <v>25</v>
      </c>
      <c r="G9" t="s">
        <v>595</v>
      </c>
      <c r="H9" t="s">
        <v>500</v>
      </c>
      <c r="I9">
        <v>7</v>
      </c>
      <c r="J9">
        <v>2007</v>
      </c>
      <c r="K9" t="s">
        <v>246</v>
      </c>
      <c r="L9">
        <v>765</v>
      </c>
      <c r="M9">
        <v>85</v>
      </c>
      <c r="N9" t="s">
        <v>233</v>
      </c>
      <c r="O9" t="s">
        <v>232</v>
      </c>
      <c r="P9" t="s">
        <v>227</v>
      </c>
      <c r="Q9" t="s">
        <v>227</v>
      </c>
      <c r="R9" s="498">
        <f>'Rekapitulasi (S3)'!D89</f>
        <v>0</v>
      </c>
      <c r="S9" s="497">
        <f>'Rekapitulasi (S3)'!D84</f>
        <v>0</v>
      </c>
      <c r="T9" s="497">
        <f>'Rekapitulasi (S3)'!D86</f>
        <v>0</v>
      </c>
      <c r="U9" s="497">
        <f>'Rekapitulasi (S3)'!D87</f>
        <v>0</v>
      </c>
      <c r="V9" s="497">
        <f>'Rekapitulasi (S3)'!D88</f>
        <v>0</v>
      </c>
      <c r="W9" s="497">
        <f>'Rekapitulasi (S3)'!E84</f>
        <v>0</v>
      </c>
      <c r="X9" s="497">
        <f>'Rekapitulasi (S3)'!E86</f>
        <v>0</v>
      </c>
    </row>
    <row r="10" spans="1:24" x14ac:dyDescent="0.45">
      <c r="B10" t="s">
        <v>278</v>
      </c>
      <c r="C10" t="s">
        <v>561</v>
      </c>
      <c r="D10" t="s">
        <v>532</v>
      </c>
      <c r="E10" s="74" t="s">
        <v>512</v>
      </c>
      <c r="F10">
        <v>15</v>
      </c>
      <c r="G10" t="s">
        <v>595</v>
      </c>
      <c r="H10" t="s">
        <v>501</v>
      </c>
      <c r="I10">
        <v>8</v>
      </c>
      <c r="J10">
        <v>2008</v>
      </c>
    </row>
    <row r="11" spans="1:24" x14ac:dyDescent="0.45">
      <c r="B11" t="s">
        <v>279</v>
      </c>
      <c r="C11" t="s">
        <v>562</v>
      </c>
      <c r="D11" t="s">
        <v>533</v>
      </c>
      <c r="E11" s="74" t="s">
        <v>513</v>
      </c>
      <c r="F11">
        <v>20</v>
      </c>
      <c r="G11" t="s">
        <v>595</v>
      </c>
      <c r="H11" t="s">
        <v>502</v>
      </c>
      <c r="I11">
        <v>9</v>
      </c>
      <c r="J11">
        <v>2009</v>
      </c>
    </row>
    <row r="12" spans="1:24" x14ac:dyDescent="0.45">
      <c r="C12" t="s">
        <v>563</v>
      </c>
      <c r="D12" t="s">
        <v>534</v>
      </c>
      <c r="E12" s="74" t="s">
        <v>514</v>
      </c>
      <c r="F12">
        <v>10</v>
      </c>
      <c r="G12" t="s">
        <v>596</v>
      </c>
      <c r="H12" t="s">
        <v>503</v>
      </c>
      <c r="I12">
        <v>10</v>
      </c>
      <c r="J12">
        <v>2010</v>
      </c>
    </row>
    <row r="13" spans="1:24" x14ac:dyDescent="0.45">
      <c r="C13" t="s">
        <v>564</v>
      </c>
      <c r="D13" t="s">
        <v>535</v>
      </c>
      <c r="E13" s="74" t="s">
        <v>515</v>
      </c>
      <c r="F13">
        <v>10</v>
      </c>
      <c r="G13" t="s">
        <v>596</v>
      </c>
      <c r="H13" t="s">
        <v>504</v>
      </c>
      <c r="I13">
        <v>11</v>
      </c>
      <c r="J13">
        <v>2011</v>
      </c>
    </row>
    <row r="14" spans="1:24" x14ac:dyDescent="0.45">
      <c r="C14" t="s">
        <v>565</v>
      </c>
      <c r="D14" t="s">
        <v>536</v>
      </c>
      <c r="E14" s="74" t="s">
        <v>289</v>
      </c>
      <c r="F14">
        <v>15</v>
      </c>
      <c r="G14" t="s">
        <v>597</v>
      </c>
      <c r="H14" t="s">
        <v>505</v>
      </c>
      <c r="I14">
        <v>12</v>
      </c>
      <c r="J14">
        <v>2012</v>
      </c>
    </row>
    <row r="15" spans="1:24" x14ac:dyDescent="0.45">
      <c r="C15" t="s">
        <v>566</v>
      </c>
      <c r="D15" t="s">
        <v>537</v>
      </c>
      <c r="E15" s="74" t="s">
        <v>290</v>
      </c>
      <c r="F15">
        <v>10</v>
      </c>
      <c r="G15" t="s">
        <v>598</v>
      </c>
      <c r="J15">
        <v>2013</v>
      </c>
    </row>
    <row r="16" spans="1:24" x14ac:dyDescent="0.45">
      <c r="C16" t="s">
        <v>567</v>
      </c>
      <c r="D16" t="s">
        <v>538</v>
      </c>
      <c r="E16" s="74" t="s">
        <v>516</v>
      </c>
      <c r="F16">
        <v>10</v>
      </c>
      <c r="G16" t="s">
        <v>599</v>
      </c>
      <c r="J16">
        <v>2014</v>
      </c>
    </row>
    <row r="17" spans="3:10" x14ac:dyDescent="0.45">
      <c r="C17" t="s">
        <v>568</v>
      </c>
      <c r="D17" t="s">
        <v>539</v>
      </c>
      <c r="E17" s="74" t="s">
        <v>517</v>
      </c>
      <c r="F17">
        <v>5</v>
      </c>
      <c r="G17" t="s">
        <v>600</v>
      </c>
      <c r="J17">
        <v>2015</v>
      </c>
    </row>
    <row r="18" spans="3:10" x14ac:dyDescent="0.45">
      <c r="C18" t="s">
        <v>569</v>
      </c>
      <c r="D18" t="s">
        <v>540</v>
      </c>
      <c r="E18" s="74" t="s">
        <v>582</v>
      </c>
      <c r="F18">
        <v>5</v>
      </c>
      <c r="G18" t="s">
        <v>597</v>
      </c>
      <c r="J18">
        <v>2016</v>
      </c>
    </row>
    <row r="19" spans="3:10" x14ac:dyDescent="0.45">
      <c r="C19" t="s">
        <v>570</v>
      </c>
      <c r="D19" t="s">
        <v>541</v>
      </c>
      <c r="E19" s="74" t="s">
        <v>583</v>
      </c>
      <c r="F19">
        <v>3</v>
      </c>
      <c r="G19" t="s">
        <v>598</v>
      </c>
      <c r="J19">
        <v>2017</v>
      </c>
    </row>
    <row r="20" spans="3:10" x14ac:dyDescent="0.45">
      <c r="C20" t="s">
        <v>571</v>
      </c>
      <c r="D20" t="s">
        <v>542</v>
      </c>
      <c r="E20" s="74" t="s">
        <v>291</v>
      </c>
      <c r="F20">
        <v>10</v>
      </c>
      <c r="G20" t="s">
        <v>597</v>
      </c>
      <c r="J20">
        <v>2018</v>
      </c>
    </row>
    <row r="21" spans="3:10" x14ac:dyDescent="0.45">
      <c r="C21" t="s">
        <v>572</v>
      </c>
      <c r="D21" t="s">
        <v>543</v>
      </c>
      <c r="E21" s="74" t="s">
        <v>292</v>
      </c>
      <c r="F21">
        <v>5</v>
      </c>
      <c r="G21" t="s">
        <v>598</v>
      </c>
      <c r="J21">
        <v>2019</v>
      </c>
    </row>
    <row r="22" spans="3:10" x14ac:dyDescent="0.45">
      <c r="C22" t="s">
        <v>573</v>
      </c>
      <c r="D22" t="s">
        <v>544</v>
      </c>
      <c r="E22" s="74" t="s">
        <v>293</v>
      </c>
      <c r="F22">
        <v>1</v>
      </c>
      <c r="G22" t="s">
        <v>601</v>
      </c>
      <c r="J22">
        <v>2020</v>
      </c>
    </row>
    <row r="23" spans="3:10" x14ac:dyDescent="0.45">
      <c r="C23" t="s">
        <v>574</v>
      </c>
      <c r="D23" t="s">
        <v>545</v>
      </c>
      <c r="E23" s="74" t="s">
        <v>294</v>
      </c>
      <c r="F23">
        <v>2</v>
      </c>
      <c r="G23" t="s">
        <v>602</v>
      </c>
    </row>
    <row r="24" spans="3:10" x14ac:dyDescent="0.45">
      <c r="C24" t="s">
        <v>575</v>
      </c>
      <c r="D24" t="s">
        <v>546</v>
      </c>
    </row>
    <row r="25" spans="3:10" x14ac:dyDescent="0.45">
      <c r="C25" t="s">
        <v>576</v>
      </c>
      <c r="D25" t="s">
        <v>547</v>
      </c>
    </row>
    <row r="26" spans="3:10" x14ac:dyDescent="0.45">
      <c r="C26" t="s">
        <v>577</v>
      </c>
      <c r="D26" t="s">
        <v>548</v>
      </c>
    </row>
    <row r="27" spans="3:10" x14ac:dyDescent="0.45">
      <c r="C27" t="s">
        <v>578</v>
      </c>
      <c r="D27" t="s">
        <v>549</v>
      </c>
    </row>
    <row r="28" spans="3:10" x14ac:dyDescent="0.45">
      <c r="C28" t="s">
        <v>579</v>
      </c>
      <c r="D28" t="s">
        <v>550</v>
      </c>
    </row>
    <row r="29" spans="3:10" x14ac:dyDescent="0.45">
      <c r="C29" t="s">
        <v>580</v>
      </c>
      <c r="D29" t="s">
        <v>551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dimension ref="A1:P1951"/>
  <sheetViews>
    <sheetView topLeftCell="A16" zoomScale="90" zoomScaleNormal="90" zoomScaleSheetLayoutView="80" workbookViewId="0">
      <selection activeCell="I266" sqref="I266:L266"/>
    </sheetView>
  </sheetViews>
  <sheetFormatPr defaultRowHeight="25.05" customHeight="1" x14ac:dyDescent="0.4"/>
  <cols>
    <col min="1" max="1" width="4.73046875" style="274" customWidth="1"/>
    <col min="2" max="2" width="4.73046875" style="275" customWidth="1"/>
    <col min="3" max="3" width="4.73046875" style="276" customWidth="1"/>
    <col min="4" max="5" width="4.73046875" style="277" customWidth="1"/>
    <col min="6" max="6" width="3.19921875" style="277" customWidth="1"/>
    <col min="7" max="7" width="45.19921875" style="278" customWidth="1"/>
    <col min="8" max="8" width="9.73046875" style="413" customWidth="1"/>
    <col min="9" max="9" width="8.46484375" style="414" customWidth="1"/>
    <col min="10" max="10" width="10.53125" style="413" customWidth="1"/>
    <col min="11" max="12" width="7.73046875" style="279" customWidth="1"/>
    <col min="13" max="13" width="13" style="279" customWidth="1"/>
    <col min="14" max="256" width="9.19921875" style="279"/>
    <col min="257" max="261" width="4.73046875" style="279" customWidth="1"/>
    <col min="262" max="262" width="3.19921875" style="279" customWidth="1"/>
    <col min="263" max="263" width="45.19921875" style="279" customWidth="1"/>
    <col min="264" max="264" width="9.73046875" style="279" customWidth="1"/>
    <col min="265" max="265" width="8.46484375" style="279" customWidth="1"/>
    <col min="266" max="266" width="10.53125" style="279" customWidth="1"/>
    <col min="267" max="268" width="7.73046875" style="279" customWidth="1"/>
    <col min="269" max="269" width="13" style="279" customWidth="1"/>
    <col min="270" max="512" width="9.19921875" style="279"/>
    <col min="513" max="517" width="4.73046875" style="279" customWidth="1"/>
    <col min="518" max="518" width="3.19921875" style="279" customWidth="1"/>
    <col min="519" max="519" width="45.19921875" style="279" customWidth="1"/>
    <col min="520" max="520" width="9.73046875" style="279" customWidth="1"/>
    <col min="521" max="521" width="8.46484375" style="279" customWidth="1"/>
    <col min="522" max="522" width="10.53125" style="279" customWidth="1"/>
    <col min="523" max="524" width="7.73046875" style="279" customWidth="1"/>
    <col min="525" max="525" width="13" style="279" customWidth="1"/>
    <col min="526" max="768" width="9.19921875" style="279"/>
    <col min="769" max="773" width="4.73046875" style="279" customWidth="1"/>
    <col min="774" max="774" width="3.19921875" style="279" customWidth="1"/>
    <col min="775" max="775" width="45.19921875" style="279" customWidth="1"/>
    <col min="776" max="776" width="9.73046875" style="279" customWidth="1"/>
    <col min="777" max="777" width="8.46484375" style="279" customWidth="1"/>
    <col min="778" max="778" width="10.53125" style="279" customWidth="1"/>
    <col min="779" max="780" width="7.73046875" style="279" customWidth="1"/>
    <col min="781" max="781" width="13" style="279" customWidth="1"/>
    <col min="782" max="1024" width="9.19921875" style="279"/>
    <col min="1025" max="1029" width="4.73046875" style="279" customWidth="1"/>
    <col min="1030" max="1030" width="3.19921875" style="279" customWidth="1"/>
    <col min="1031" max="1031" width="45.19921875" style="279" customWidth="1"/>
    <col min="1032" max="1032" width="9.73046875" style="279" customWidth="1"/>
    <col min="1033" max="1033" width="8.46484375" style="279" customWidth="1"/>
    <col min="1034" max="1034" width="10.53125" style="279" customWidth="1"/>
    <col min="1035" max="1036" width="7.73046875" style="279" customWidth="1"/>
    <col min="1037" max="1037" width="13" style="279" customWidth="1"/>
    <col min="1038" max="1280" width="9.19921875" style="279"/>
    <col min="1281" max="1285" width="4.73046875" style="279" customWidth="1"/>
    <col min="1286" max="1286" width="3.19921875" style="279" customWidth="1"/>
    <col min="1287" max="1287" width="45.19921875" style="279" customWidth="1"/>
    <col min="1288" max="1288" width="9.73046875" style="279" customWidth="1"/>
    <col min="1289" max="1289" width="8.46484375" style="279" customWidth="1"/>
    <col min="1290" max="1290" width="10.53125" style="279" customWidth="1"/>
    <col min="1291" max="1292" width="7.73046875" style="279" customWidth="1"/>
    <col min="1293" max="1293" width="13" style="279" customWidth="1"/>
    <col min="1294" max="1536" width="9.19921875" style="279"/>
    <col min="1537" max="1541" width="4.73046875" style="279" customWidth="1"/>
    <col min="1542" max="1542" width="3.19921875" style="279" customWidth="1"/>
    <col min="1543" max="1543" width="45.19921875" style="279" customWidth="1"/>
    <col min="1544" max="1544" width="9.73046875" style="279" customWidth="1"/>
    <col min="1545" max="1545" width="8.46484375" style="279" customWidth="1"/>
    <col min="1546" max="1546" width="10.53125" style="279" customWidth="1"/>
    <col min="1547" max="1548" width="7.73046875" style="279" customWidth="1"/>
    <col min="1549" max="1549" width="13" style="279" customWidth="1"/>
    <col min="1550" max="1792" width="9.19921875" style="279"/>
    <col min="1793" max="1797" width="4.73046875" style="279" customWidth="1"/>
    <col min="1798" max="1798" width="3.19921875" style="279" customWidth="1"/>
    <col min="1799" max="1799" width="45.19921875" style="279" customWidth="1"/>
    <col min="1800" max="1800" width="9.73046875" style="279" customWidth="1"/>
    <col min="1801" max="1801" width="8.46484375" style="279" customWidth="1"/>
    <col min="1802" max="1802" width="10.53125" style="279" customWidth="1"/>
    <col min="1803" max="1804" width="7.73046875" style="279" customWidth="1"/>
    <col min="1805" max="1805" width="13" style="279" customWidth="1"/>
    <col min="1806" max="2048" width="9.19921875" style="279"/>
    <col min="2049" max="2053" width="4.73046875" style="279" customWidth="1"/>
    <col min="2054" max="2054" width="3.19921875" style="279" customWidth="1"/>
    <col min="2055" max="2055" width="45.19921875" style="279" customWidth="1"/>
    <col min="2056" max="2056" width="9.73046875" style="279" customWidth="1"/>
    <col min="2057" max="2057" width="8.46484375" style="279" customWidth="1"/>
    <col min="2058" max="2058" width="10.53125" style="279" customWidth="1"/>
    <col min="2059" max="2060" width="7.73046875" style="279" customWidth="1"/>
    <col min="2061" max="2061" width="13" style="279" customWidth="1"/>
    <col min="2062" max="2304" width="9.19921875" style="279"/>
    <col min="2305" max="2309" width="4.73046875" style="279" customWidth="1"/>
    <col min="2310" max="2310" width="3.19921875" style="279" customWidth="1"/>
    <col min="2311" max="2311" width="45.19921875" style="279" customWidth="1"/>
    <col min="2312" max="2312" width="9.73046875" style="279" customWidth="1"/>
    <col min="2313" max="2313" width="8.46484375" style="279" customWidth="1"/>
    <col min="2314" max="2314" width="10.53125" style="279" customWidth="1"/>
    <col min="2315" max="2316" width="7.73046875" style="279" customWidth="1"/>
    <col min="2317" max="2317" width="13" style="279" customWidth="1"/>
    <col min="2318" max="2560" width="9.19921875" style="279"/>
    <col min="2561" max="2565" width="4.73046875" style="279" customWidth="1"/>
    <col min="2566" max="2566" width="3.19921875" style="279" customWidth="1"/>
    <col min="2567" max="2567" width="45.19921875" style="279" customWidth="1"/>
    <col min="2568" max="2568" width="9.73046875" style="279" customWidth="1"/>
    <col min="2569" max="2569" width="8.46484375" style="279" customWidth="1"/>
    <col min="2570" max="2570" width="10.53125" style="279" customWidth="1"/>
    <col min="2571" max="2572" width="7.73046875" style="279" customWidth="1"/>
    <col min="2573" max="2573" width="13" style="279" customWidth="1"/>
    <col min="2574" max="2816" width="9.19921875" style="279"/>
    <col min="2817" max="2821" width="4.73046875" style="279" customWidth="1"/>
    <col min="2822" max="2822" width="3.19921875" style="279" customWidth="1"/>
    <col min="2823" max="2823" width="45.19921875" style="279" customWidth="1"/>
    <col min="2824" max="2824" width="9.73046875" style="279" customWidth="1"/>
    <col min="2825" max="2825" width="8.46484375" style="279" customWidth="1"/>
    <col min="2826" max="2826" width="10.53125" style="279" customWidth="1"/>
    <col min="2827" max="2828" width="7.73046875" style="279" customWidth="1"/>
    <col min="2829" max="2829" width="13" style="279" customWidth="1"/>
    <col min="2830" max="3072" width="9.19921875" style="279"/>
    <col min="3073" max="3077" width="4.73046875" style="279" customWidth="1"/>
    <col min="3078" max="3078" width="3.19921875" style="279" customWidth="1"/>
    <col min="3079" max="3079" width="45.19921875" style="279" customWidth="1"/>
    <col min="3080" max="3080" width="9.73046875" style="279" customWidth="1"/>
    <col min="3081" max="3081" width="8.46484375" style="279" customWidth="1"/>
    <col min="3082" max="3082" width="10.53125" style="279" customWidth="1"/>
    <col min="3083" max="3084" width="7.73046875" style="279" customWidth="1"/>
    <col min="3085" max="3085" width="13" style="279" customWidth="1"/>
    <col min="3086" max="3328" width="9.19921875" style="279"/>
    <col min="3329" max="3333" width="4.73046875" style="279" customWidth="1"/>
    <col min="3334" max="3334" width="3.19921875" style="279" customWidth="1"/>
    <col min="3335" max="3335" width="45.19921875" style="279" customWidth="1"/>
    <col min="3336" max="3336" width="9.73046875" style="279" customWidth="1"/>
    <col min="3337" max="3337" width="8.46484375" style="279" customWidth="1"/>
    <col min="3338" max="3338" width="10.53125" style="279" customWidth="1"/>
    <col min="3339" max="3340" width="7.73046875" style="279" customWidth="1"/>
    <col min="3341" max="3341" width="13" style="279" customWidth="1"/>
    <col min="3342" max="3584" width="9.19921875" style="279"/>
    <col min="3585" max="3589" width="4.73046875" style="279" customWidth="1"/>
    <col min="3590" max="3590" width="3.19921875" style="279" customWidth="1"/>
    <col min="3591" max="3591" width="45.19921875" style="279" customWidth="1"/>
    <col min="3592" max="3592" width="9.73046875" style="279" customWidth="1"/>
    <col min="3593" max="3593" width="8.46484375" style="279" customWidth="1"/>
    <col min="3594" max="3594" width="10.53125" style="279" customWidth="1"/>
    <col min="3595" max="3596" width="7.73046875" style="279" customWidth="1"/>
    <col min="3597" max="3597" width="13" style="279" customWidth="1"/>
    <col min="3598" max="3840" width="9.19921875" style="279"/>
    <col min="3841" max="3845" width="4.73046875" style="279" customWidth="1"/>
    <col min="3846" max="3846" width="3.19921875" style="279" customWidth="1"/>
    <col min="3847" max="3847" width="45.19921875" style="279" customWidth="1"/>
    <col min="3848" max="3848" width="9.73046875" style="279" customWidth="1"/>
    <col min="3849" max="3849" width="8.46484375" style="279" customWidth="1"/>
    <col min="3850" max="3850" width="10.53125" style="279" customWidth="1"/>
    <col min="3851" max="3852" width="7.73046875" style="279" customWidth="1"/>
    <col min="3853" max="3853" width="13" style="279" customWidth="1"/>
    <col min="3854" max="4096" width="9.19921875" style="279"/>
    <col min="4097" max="4101" width="4.73046875" style="279" customWidth="1"/>
    <col min="4102" max="4102" width="3.19921875" style="279" customWidth="1"/>
    <col min="4103" max="4103" width="45.19921875" style="279" customWidth="1"/>
    <col min="4104" max="4104" width="9.73046875" style="279" customWidth="1"/>
    <col min="4105" max="4105" width="8.46484375" style="279" customWidth="1"/>
    <col min="4106" max="4106" width="10.53125" style="279" customWidth="1"/>
    <col min="4107" max="4108" width="7.73046875" style="279" customWidth="1"/>
    <col min="4109" max="4109" width="13" style="279" customWidth="1"/>
    <col min="4110" max="4352" width="9.19921875" style="279"/>
    <col min="4353" max="4357" width="4.73046875" style="279" customWidth="1"/>
    <col min="4358" max="4358" width="3.19921875" style="279" customWidth="1"/>
    <col min="4359" max="4359" width="45.19921875" style="279" customWidth="1"/>
    <col min="4360" max="4360" width="9.73046875" style="279" customWidth="1"/>
    <col min="4361" max="4361" width="8.46484375" style="279" customWidth="1"/>
    <col min="4362" max="4362" width="10.53125" style="279" customWidth="1"/>
    <col min="4363" max="4364" width="7.73046875" style="279" customWidth="1"/>
    <col min="4365" max="4365" width="13" style="279" customWidth="1"/>
    <col min="4366" max="4608" width="9.19921875" style="279"/>
    <col min="4609" max="4613" width="4.73046875" style="279" customWidth="1"/>
    <col min="4614" max="4614" width="3.19921875" style="279" customWidth="1"/>
    <col min="4615" max="4615" width="45.19921875" style="279" customWidth="1"/>
    <col min="4616" max="4616" width="9.73046875" style="279" customWidth="1"/>
    <col min="4617" max="4617" width="8.46484375" style="279" customWidth="1"/>
    <col min="4618" max="4618" width="10.53125" style="279" customWidth="1"/>
    <col min="4619" max="4620" width="7.73046875" style="279" customWidth="1"/>
    <col min="4621" max="4621" width="13" style="279" customWidth="1"/>
    <col min="4622" max="4864" width="9.19921875" style="279"/>
    <col min="4865" max="4869" width="4.73046875" style="279" customWidth="1"/>
    <col min="4870" max="4870" width="3.19921875" style="279" customWidth="1"/>
    <col min="4871" max="4871" width="45.19921875" style="279" customWidth="1"/>
    <col min="4872" max="4872" width="9.73046875" style="279" customWidth="1"/>
    <col min="4873" max="4873" width="8.46484375" style="279" customWidth="1"/>
    <col min="4874" max="4874" width="10.53125" style="279" customWidth="1"/>
    <col min="4875" max="4876" width="7.73046875" style="279" customWidth="1"/>
    <col min="4877" max="4877" width="13" style="279" customWidth="1"/>
    <col min="4878" max="5120" width="9.19921875" style="279"/>
    <col min="5121" max="5125" width="4.73046875" style="279" customWidth="1"/>
    <col min="5126" max="5126" width="3.19921875" style="279" customWidth="1"/>
    <col min="5127" max="5127" width="45.19921875" style="279" customWidth="1"/>
    <col min="5128" max="5128" width="9.73046875" style="279" customWidth="1"/>
    <col min="5129" max="5129" width="8.46484375" style="279" customWidth="1"/>
    <col min="5130" max="5130" width="10.53125" style="279" customWidth="1"/>
    <col min="5131" max="5132" width="7.73046875" style="279" customWidth="1"/>
    <col min="5133" max="5133" width="13" style="279" customWidth="1"/>
    <col min="5134" max="5376" width="9.19921875" style="279"/>
    <col min="5377" max="5381" width="4.73046875" style="279" customWidth="1"/>
    <col min="5382" max="5382" width="3.19921875" style="279" customWidth="1"/>
    <col min="5383" max="5383" width="45.19921875" style="279" customWidth="1"/>
    <col min="5384" max="5384" width="9.73046875" style="279" customWidth="1"/>
    <col min="5385" max="5385" width="8.46484375" style="279" customWidth="1"/>
    <col min="5386" max="5386" width="10.53125" style="279" customWidth="1"/>
    <col min="5387" max="5388" width="7.73046875" style="279" customWidth="1"/>
    <col min="5389" max="5389" width="13" style="279" customWidth="1"/>
    <col min="5390" max="5632" width="9.19921875" style="279"/>
    <col min="5633" max="5637" width="4.73046875" style="279" customWidth="1"/>
    <col min="5638" max="5638" width="3.19921875" style="279" customWidth="1"/>
    <col min="5639" max="5639" width="45.19921875" style="279" customWidth="1"/>
    <col min="5640" max="5640" width="9.73046875" style="279" customWidth="1"/>
    <col min="5641" max="5641" width="8.46484375" style="279" customWidth="1"/>
    <col min="5642" max="5642" width="10.53125" style="279" customWidth="1"/>
    <col min="5643" max="5644" width="7.73046875" style="279" customWidth="1"/>
    <col min="5645" max="5645" width="13" style="279" customWidth="1"/>
    <col min="5646" max="5888" width="9.19921875" style="279"/>
    <col min="5889" max="5893" width="4.73046875" style="279" customWidth="1"/>
    <col min="5894" max="5894" width="3.19921875" style="279" customWidth="1"/>
    <col min="5895" max="5895" width="45.19921875" style="279" customWidth="1"/>
    <col min="5896" max="5896" width="9.73046875" style="279" customWidth="1"/>
    <col min="5897" max="5897" width="8.46484375" style="279" customWidth="1"/>
    <col min="5898" max="5898" width="10.53125" style="279" customWidth="1"/>
    <col min="5899" max="5900" width="7.73046875" style="279" customWidth="1"/>
    <col min="5901" max="5901" width="13" style="279" customWidth="1"/>
    <col min="5902" max="6144" width="9.19921875" style="279"/>
    <col min="6145" max="6149" width="4.73046875" style="279" customWidth="1"/>
    <col min="6150" max="6150" width="3.19921875" style="279" customWidth="1"/>
    <col min="6151" max="6151" width="45.19921875" style="279" customWidth="1"/>
    <col min="6152" max="6152" width="9.73046875" style="279" customWidth="1"/>
    <col min="6153" max="6153" width="8.46484375" style="279" customWidth="1"/>
    <col min="6154" max="6154" width="10.53125" style="279" customWidth="1"/>
    <col min="6155" max="6156" width="7.73046875" style="279" customWidth="1"/>
    <col min="6157" max="6157" width="13" style="279" customWidth="1"/>
    <col min="6158" max="6400" width="9.19921875" style="279"/>
    <col min="6401" max="6405" width="4.73046875" style="279" customWidth="1"/>
    <col min="6406" max="6406" width="3.19921875" style="279" customWidth="1"/>
    <col min="6407" max="6407" width="45.19921875" style="279" customWidth="1"/>
    <col min="6408" max="6408" width="9.73046875" style="279" customWidth="1"/>
    <col min="6409" max="6409" width="8.46484375" style="279" customWidth="1"/>
    <col min="6410" max="6410" width="10.53125" style="279" customWidth="1"/>
    <col min="6411" max="6412" width="7.73046875" style="279" customWidth="1"/>
    <col min="6413" max="6413" width="13" style="279" customWidth="1"/>
    <col min="6414" max="6656" width="9.19921875" style="279"/>
    <col min="6657" max="6661" width="4.73046875" style="279" customWidth="1"/>
    <col min="6662" max="6662" width="3.19921875" style="279" customWidth="1"/>
    <col min="6663" max="6663" width="45.19921875" style="279" customWidth="1"/>
    <col min="6664" max="6664" width="9.73046875" style="279" customWidth="1"/>
    <col min="6665" max="6665" width="8.46484375" style="279" customWidth="1"/>
    <col min="6666" max="6666" width="10.53125" style="279" customWidth="1"/>
    <col min="6667" max="6668" width="7.73046875" style="279" customWidth="1"/>
    <col min="6669" max="6669" width="13" style="279" customWidth="1"/>
    <col min="6670" max="6912" width="9.19921875" style="279"/>
    <col min="6913" max="6917" width="4.73046875" style="279" customWidth="1"/>
    <col min="6918" max="6918" width="3.19921875" style="279" customWidth="1"/>
    <col min="6919" max="6919" width="45.19921875" style="279" customWidth="1"/>
    <col min="6920" max="6920" width="9.73046875" style="279" customWidth="1"/>
    <col min="6921" max="6921" width="8.46484375" style="279" customWidth="1"/>
    <col min="6922" max="6922" width="10.53125" style="279" customWidth="1"/>
    <col min="6923" max="6924" width="7.73046875" style="279" customWidth="1"/>
    <col min="6925" max="6925" width="13" style="279" customWidth="1"/>
    <col min="6926" max="7168" width="9.19921875" style="279"/>
    <col min="7169" max="7173" width="4.73046875" style="279" customWidth="1"/>
    <col min="7174" max="7174" width="3.19921875" style="279" customWidth="1"/>
    <col min="7175" max="7175" width="45.19921875" style="279" customWidth="1"/>
    <col min="7176" max="7176" width="9.73046875" style="279" customWidth="1"/>
    <col min="7177" max="7177" width="8.46484375" style="279" customWidth="1"/>
    <col min="7178" max="7178" width="10.53125" style="279" customWidth="1"/>
    <col min="7179" max="7180" width="7.73046875" style="279" customWidth="1"/>
    <col min="7181" max="7181" width="13" style="279" customWidth="1"/>
    <col min="7182" max="7424" width="9.19921875" style="279"/>
    <col min="7425" max="7429" width="4.73046875" style="279" customWidth="1"/>
    <col min="7430" max="7430" width="3.19921875" style="279" customWidth="1"/>
    <col min="7431" max="7431" width="45.19921875" style="279" customWidth="1"/>
    <col min="7432" max="7432" width="9.73046875" style="279" customWidth="1"/>
    <col min="7433" max="7433" width="8.46484375" style="279" customWidth="1"/>
    <col min="7434" max="7434" width="10.53125" style="279" customWidth="1"/>
    <col min="7435" max="7436" width="7.73046875" style="279" customWidth="1"/>
    <col min="7437" max="7437" width="13" style="279" customWidth="1"/>
    <col min="7438" max="7680" width="9.19921875" style="279"/>
    <col min="7681" max="7685" width="4.73046875" style="279" customWidth="1"/>
    <col min="7686" max="7686" width="3.19921875" style="279" customWidth="1"/>
    <col min="7687" max="7687" width="45.19921875" style="279" customWidth="1"/>
    <col min="7688" max="7688" width="9.73046875" style="279" customWidth="1"/>
    <col min="7689" max="7689" width="8.46484375" style="279" customWidth="1"/>
    <col min="7690" max="7690" width="10.53125" style="279" customWidth="1"/>
    <col min="7691" max="7692" width="7.73046875" style="279" customWidth="1"/>
    <col min="7693" max="7693" width="13" style="279" customWidth="1"/>
    <col min="7694" max="7936" width="9.19921875" style="279"/>
    <col min="7937" max="7941" width="4.73046875" style="279" customWidth="1"/>
    <col min="7942" max="7942" width="3.19921875" style="279" customWidth="1"/>
    <col min="7943" max="7943" width="45.19921875" style="279" customWidth="1"/>
    <col min="7944" max="7944" width="9.73046875" style="279" customWidth="1"/>
    <col min="7945" max="7945" width="8.46484375" style="279" customWidth="1"/>
    <col min="7946" max="7946" width="10.53125" style="279" customWidth="1"/>
    <col min="7947" max="7948" width="7.73046875" style="279" customWidth="1"/>
    <col min="7949" max="7949" width="13" style="279" customWidth="1"/>
    <col min="7950" max="8192" width="9.19921875" style="279"/>
    <col min="8193" max="8197" width="4.73046875" style="279" customWidth="1"/>
    <col min="8198" max="8198" width="3.19921875" style="279" customWidth="1"/>
    <col min="8199" max="8199" width="45.19921875" style="279" customWidth="1"/>
    <col min="8200" max="8200" width="9.73046875" style="279" customWidth="1"/>
    <col min="8201" max="8201" width="8.46484375" style="279" customWidth="1"/>
    <col min="8202" max="8202" width="10.53125" style="279" customWidth="1"/>
    <col min="8203" max="8204" width="7.73046875" style="279" customWidth="1"/>
    <col min="8205" max="8205" width="13" style="279" customWidth="1"/>
    <col min="8206" max="8448" width="9.19921875" style="279"/>
    <col min="8449" max="8453" width="4.73046875" style="279" customWidth="1"/>
    <col min="8454" max="8454" width="3.19921875" style="279" customWidth="1"/>
    <col min="8455" max="8455" width="45.19921875" style="279" customWidth="1"/>
    <col min="8456" max="8456" width="9.73046875" style="279" customWidth="1"/>
    <col min="8457" max="8457" width="8.46484375" style="279" customWidth="1"/>
    <col min="8458" max="8458" width="10.53125" style="279" customWidth="1"/>
    <col min="8459" max="8460" width="7.73046875" style="279" customWidth="1"/>
    <col min="8461" max="8461" width="13" style="279" customWidth="1"/>
    <col min="8462" max="8704" width="9.19921875" style="279"/>
    <col min="8705" max="8709" width="4.73046875" style="279" customWidth="1"/>
    <col min="8710" max="8710" width="3.19921875" style="279" customWidth="1"/>
    <col min="8711" max="8711" width="45.19921875" style="279" customWidth="1"/>
    <col min="8712" max="8712" width="9.73046875" style="279" customWidth="1"/>
    <col min="8713" max="8713" width="8.46484375" style="279" customWidth="1"/>
    <col min="8714" max="8714" width="10.53125" style="279" customWidth="1"/>
    <col min="8715" max="8716" width="7.73046875" style="279" customWidth="1"/>
    <col min="8717" max="8717" width="13" style="279" customWidth="1"/>
    <col min="8718" max="8960" width="9.19921875" style="279"/>
    <col min="8961" max="8965" width="4.73046875" style="279" customWidth="1"/>
    <col min="8966" max="8966" width="3.19921875" style="279" customWidth="1"/>
    <col min="8967" max="8967" width="45.19921875" style="279" customWidth="1"/>
    <col min="8968" max="8968" width="9.73046875" style="279" customWidth="1"/>
    <col min="8969" max="8969" width="8.46484375" style="279" customWidth="1"/>
    <col min="8970" max="8970" width="10.53125" style="279" customWidth="1"/>
    <col min="8971" max="8972" width="7.73046875" style="279" customWidth="1"/>
    <col min="8973" max="8973" width="13" style="279" customWidth="1"/>
    <col min="8974" max="9216" width="9.19921875" style="279"/>
    <col min="9217" max="9221" width="4.73046875" style="279" customWidth="1"/>
    <col min="9222" max="9222" width="3.19921875" style="279" customWidth="1"/>
    <col min="9223" max="9223" width="45.19921875" style="279" customWidth="1"/>
    <col min="9224" max="9224" width="9.73046875" style="279" customWidth="1"/>
    <col min="9225" max="9225" width="8.46484375" style="279" customWidth="1"/>
    <col min="9226" max="9226" width="10.53125" style="279" customWidth="1"/>
    <col min="9227" max="9228" width="7.73046875" style="279" customWidth="1"/>
    <col min="9229" max="9229" width="13" style="279" customWidth="1"/>
    <col min="9230" max="9472" width="9.19921875" style="279"/>
    <col min="9473" max="9477" width="4.73046875" style="279" customWidth="1"/>
    <col min="9478" max="9478" width="3.19921875" style="279" customWidth="1"/>
    <col min="9479" max="9479" width="45.19921875" style="279" customWidth="1"/>
    <col min="9480" max="9480" width="9.73046875" style="279" customWidth="1"/>
    <col min="9481" max="9481" width="8.46484375" style="279" customWidth="1"/>
    <col min="9482" max="9482" width="10.53125" style="279" customWidth="1"/>
    <col min="9483" max="9484" width="7.73046875" style="279" customWidth="1"/>
    <col min="9485" max="9485" width="13" style="279" customWidth="1"/>
    <col min="9486" max="9728" width="9.19921875" style="279"/>
    <col min="9729" max="9733" width="4.73046875" style="279" customWidth="1"/>
    <col min="9734" max="9734" width="3.19921875" style="279" customWidth="1"/>
    <col min="9735" max="9735" width="45.19921875" style="279" customWidth="1"/>
    <col min="9736" max="9736" width="9.73046875" style="279" customWidth="1"/>
    <col min="9737" max="9737" width="8.46484375" style="279" customWidth="1"/>
    <col min="9738" max="9738" width="10.53125" style="279" customWidth="1"/>
    <col min="9739" max="9740" width="7.73046875" style="279" customWidth="1"/>
    <col min="9741" max="9741" width="13" style="279" customWidth="1"/>
    <col min="9742" max="9984" width="9.19921875" style="279"/>
    <col min="9985" max="9989" width="4.73046875" style="279" customWidth="1"/>
    <col min="9990" max="9990" width="3.19921875" style="279" customWidth="1"/>
    <col min="9991" max="9991" width="45.19921875" style="279" customWidth="1"/>
    <col min="9992" max="9992" width="9.73046875" style="279" customWidth="1"/>
    <col min="9993" max="9993" width="8.46484375" style="279" customWidth="1"/>
    <col min="9994" max="9994" width="10.53125" style="279" customWidth="1"/>
    <col min="9995" max="9996" width="7.73046875" style="279" customWidth="1"/>
    <col min="9997" max="9997" width="13" style="279" customWidth="1"/>
    <col min="9998" max="10240" width="9.19921875" style="279"/>
    <col min="10241" max="10245" width="4.73046875" style="279" customWidth="1"/>
    <col min="10246" max="10246" width="3.19921875" style="279" customWidth="1"/>
    <col min="10247" max="10247" width="45.19921875" style="279" customWidth="1"/>
    <col min="10248" max="10248" width="9.73046875" style="279" customWidth="1"/>
    <col min="10249" max="10249" width="8.46484375" style="279" customWidth="1"/>
    <col min="10250" max="10250" width="10.53125" style="279" customWidth="1"/>
    <col min="10251" max="10252" width="7.73046875" style="279" customWidth="1"/>
    <col min="10253" max="10253" width="13" style="279" customWidth="1"/>
    <col min="10254" max="10496" width="9.19921875" style="279"/>
    <col min="10497" max="10501" width="4.73046875" style="279" customWidth="1"/>
    <col min="10502" max="10502" width="3.19921875" style="279" customWidth="1"/>
    <col min="10503" max="10503" width="45.19921875" style="279" customWidth="1"/>
    <col min="10504" max="10504" width="9.73046875" style="279" customWidth="1"/>
    <col min="10505" max="10505" width="8.46484375" style="279" customWidth="1"/>
    <col min="10506" max="10506" width="10.53125" style="279" customWidth="1"/>
    <col min="10507" max="10508" width="7.73046875" style="279" customWidth="1"/>
    <col min="10509" max="10509" width="13" style="279" customWidth="1"/>
    <col min="10510" max="10752" width="9.19921875" style="279"/>
    <col min="10753" max="10757" width="4.73046875" style="279" customWidth="1"/>
    <col min="10758" max="10758" width="3.19921875" style="279" customWidth="1"/>
    <col min="10759" max="10759" width="45.19921875" style="279" customWidth="1"/>
    <col min="10760" max="10760" width="9.73046875" style="279" customWidth="1"/>
    <col min="10761" max="10761" width="8.46484375" style="279" customWidth="1"/>
    <col min="10762" max="10762" width="10.53125" style="279" customWidth="1"/>
    <col min="10763" max="10764" width="7.73046875" style="279" customWidth="1"/>
    <col min="10765" max="10765" width="13" style="279" customWidth="1"/>
    <col min="10766" max="11008" width="9.19921875" style="279"/>
    <col min="11009" max="11013" width="4.73046875" style="279" customWidth="1"/>
    <col min="11014" max="11014" width="3.19921875" style="279" customWidth="1"/>
    <col min="11015" max="11015" width="45.19921875" style="279" customWidth="1"/>
    <col min="11016" max="11016" width="9.73046875" style="279" customWidth="1"/>
    <col min="11017" max="11017" width="8.46484375" style="279" customWidth="1"/>
    <col min="11018" max="11018" width="10.53125" style="279" customWidth="1"/>
    <col min="11019" max="11020" width="7.73046875" style="279" customWidth="1"/>
    <col min="11021" max="11021" width="13" style="279" customWidth="1"/>
    <col min="11022" max="11264" width="9.19921875" style="279"/>
    <col min="11265" max="11269" width="4.73046875" style="279" customWidth="1"/>
    <col min="11270" max="11270" width="3.19921875" style="279" customWidth="1"/>
    <col min="11271" max="11271" width="45.19921875" style="279" customWidth="1"/>
    <col min="11272" max="11272" width="9.73046875" style="279" customWidth="1"/>
    <col min="11273" max="11273" width="8.46484375" style="279" customWidth="1"/>
    <col min="11274" max="11274" width="10.53125" style="279" customWidth="1"/>
    <col min="11275" max="11276" width="7.73046875" style="279" customWidth="1"/>
    <col min="11277" max="11277" width="13" style="279" customWidth="1"/>
    <col min="11278" max="11520" width="9.19921875" style="279"/>
    <col min="11521" max="11525" width="4.73046875" style="279" customWidth="1"/>
    <col min="11526" max="11526" width="3.19921875" style="279" customWidth="1"/>
    <col min="11527" max="11527" width="45.19921875" style="279" customWidth="1"/>
    <col min="11528" max="11528" width="9.73046875" style="279" customWidth="1"/>
    <col min="11529" max="11529" width="8.46484375" style="279" customWidth="1"/>
    <col min="11530" max="11530" width="10.53125" style="279" customWidth="1"/>
    <col min="11531" max="11532" width="7.73046875" style="279" customWidth="1"/>
    <col min="11533" max="11533" width="13" style="279" customWidth="1"/>
    <col min="11534" max="11776" width="9.19921875" style="279"/>
    <col min="11777" max="11781" width="4.73046875" style="279" customWidth="1"/>
    <col min="11782" max="11782" width="3.19921875" style="279" customWidth="1"/>
    <col min="11783" max="11783" width="45.19921875" style="279" customWidth="1"/>
    <col min="11784" max="11784" width="9.73046875" style="279" customWidth="1"/>
    <col min="11785" max="11785" width="8.46484375" style="279" customWidth="1"/>
    <col min="11786" max="11786" width="10.53125" style="279" customWidth="1"/>
    <col min="11787" max="11788" width="7.73046875" style="279" customWidth="1"/>
    <col min="11789" max="11789" width="13" style="279" customWidth="1"/>
    <col min="11790" max="12032" width="9.19921875" style="279"/>
    <col min="12033" max="12037" width="4.73046875" style="279" customWidth="1"/>
    <col min="12038" max="12038" width="3.19921875" style="279" customWidth="1"/>
    <col min="12039" max="12039" width="45.19921875" style="279" customWidth="1"/>
    <col min="12040" max="12040" width="9.73046875" style="279" customWidth="1"/>
    <col min="12041" max="12041" width="8.46484375" style="279" customWidth="1"/>
    <col min="12042" max="12042" width="10.53125" style="279" customWidth="1"/>
    <col min="12043" max="12044" width="7.73046875" style="279" customWidth="1"/>
    <col min="12045" max="12045" width="13" style="279" customWidth="1"/>
    <col min="12046" max="12288" width="9.19921875" style="279"/>
    <col min="12289" max="12293" width="4.73046875" style="279" customWidth="1"/>
    <col min="12294" max="12294" width="3.19921875" style="279" customWidth="1"/>
    <col min="12295" max="12295" width="45.19921875" style="279" customWidth="1"/>
    <col min="12296" max="12296" width="9.73046875" style="279" customWidth="1"/>
    <col min="12297" max="12297" width="8.46484375" style="279" customWidth="1"/>
    <col min="12298" max="12298" width="10.53125" style="279" customWidth="1"/>
    <col min="12299" max="12300" width="7.73046875" style="279" customWidth="1"/>
    <col min="12301" max="12301" width="13" style="279" customWidth="1"/>
    <col min="12302" max="12544" width="9.19921875" style="279"/>
    <col min="12545" max="12549" width="4.73046875" style="279" customWidth="1"/>
    <col min="12550" max="12550" width="3.19921875" style="279" customWidth="1"/>
    <col min="12551" max="12551" width="45.19921875" style="279" customWidth="1"/>
    <col min="12552" max="12552" width="9.73046875" style="279" customWidth="1"/>
    <col min="12553" max="12553" width="8.46484375" style="279" customWidth="1"/>
    <col min="12554" max="12554" width="10.53125" style="279" customWidth="1"/>
    <col min="12555" max="12556" width="7.73046875" style="279" customWidth="1"/>
    <col min="12557" max="12557" width="13" style="279" customWidth="1"/>
    <col min="12558" max="12800" width="9.19921875" style="279"/>
    <col min="12801" max="12805" width="4.73046875" style="279" customWidth="1"/>
    <col min="12806" max="12806" width="3.19921875" style="279" customWidth="1"/>
    <col min="12807" max="12807" width="45.19921875" style="279" customWidth="1"/>
    <col min="12808" max="12808" width="9.73046875" style="279" customWidth="1"/>
    <col min="12809" max="12809" width="8.46484375" style="279" customWidth="1"/>
    <col min="12810" max="12810" width="10.53125" style="279" customWidth="1"/>
    <col min="12811" max="12812" width="7.73046875" style="279" customWidth="1"/>
    <col min="12813" max="12813" width="13" style="279" customWidth="1"/>
    <col min="12814" max="13056" width="9.19921875" style="279"/>
    <col min="13057" max="13061" width="4.73046875" style="279" customWidth="1"/>
    <col min="13062" max="13062" width="3.19921875" style="279" customWidth="1"/>
    <col min="13063" max="13063" width="45.19921875" style="279" customWidth="1"/>
    <col min="13064" max="13064" width="9.73046875" style="279" customWidth="1"/>
    <col min="13065" max="13065" width="8.46484375" style="279" customWidth="1"/>
    <col min="13066" max="13066" width="10.53125" style="279" customWidth="1"/>
    <col min="13067" max="13068" width="7.73046875" style="279" customWidth="1"/>
    <col min="13069" max="13069" width="13" style="279" customWidth="1"/>
    <col min="13070" max="13312" width="9.19921875" style="279"/>
    <col min="13313" max="13317" width="4.73046875" style="279" customWidth="1"/>
    <col min="13318" max="13318" width="3.19921875" style="279" customWidth="1"/>
    <col min="13319" max="13319" width="45.19921875" style="279" customWidth="1"/>
    <col min="13320" max="13320" width="9.73046875" style="279" customWidth="1"/>
    <col min="13321" max="13321" width="8.46484375" style="279" customWidth="1"/>
    <col min="13322" max="13322" width="10.53125" style="279" customWidth="1"/>
    <col min="13323" max="13324" width="7.73046875" style="279" customWidth="1"/>
    <col min="13325" max="13325" width="13" style="279" customWidth="1"/>
    <col min="13326" max="13568" width="9.19921875" style="279"/>
    <col min="13569" max="13573" width="4.73046875" style="279" customWidth="1"/>
    <col min="13574" max="13574" width="3.19921875" style="279" customWidth="1"/>
    <col min="13575" max="13575" width="45.19921875" style="279" customWidth="1"/>
    <col min="13576" max="13576" width="9.73046875" style="279" customWidth="1"/>
    <col min="13577" max="13577" width="8.46484375" style="279" customWidth="1"/>
    <col min="13578" max="13578" width="10.53125" style="279" customWidth="1"/>
    <col min="13579" max="13580" width="7.73046875" style="279" customWidth="1"/>
    <col min="13581" max="13581" width="13" style="279" customWidth="1"/>
    <col min="13582" max="13824" width="9.19921875" style="279"/>
    <col min="13825" max="13829" width="4.73046875" style="279" customWidth="1"/>
    <col min="13830" max="13830" width="3.19921875" style="279" customWidth="1"/>
    <col min="13831" max="13831" width="45.19921875" style="279" customWidth="1"/>
    <col min="13832" max="13832" width="9.73046875" style="279" customWidth="1"/>
    <col min="13833" max="13833" width="8.46484375" style="279" customWidth="1"/>
    <col min="13834" max="13834" width="10.53125" style="279" customWidth="1"/>
    <col min="13835" max="13836" width="7.73046875" style="279" customWidth="1"/>
    <col min="13837" max="13837" width="13" style="279" customWidth="1"/>
    <col min="13838" max="14080" width="9.19921875" style="279"/>
    <col min="14081" max="14085" width="4.73046875" style="279" customWidth="1"/>
    <col min="14086" max="14086" width="3.19921875" style="279" customWidth="1"/>
    <col min="14087" max="14087" width="45.19921875" style="279" customWidth="1"/>
    <col min="14088" max="14088" width="9.73046875" style="279" customWidth="1"/>
    <col min="14089" max="14089" width="8.46484375" style="279" customWidth="1"/>
    <col min="14090" max="14090" width="10.53125" style="279" customWidth="1"/>
    <col min="14091" max="14092" width="7.73046875" style="279" customWidth="1"/>
    <col min="14093" max="14093" width="13" style="279" customWidth="1"/>
    <col min="14094" max="14336" width="9.19921875" style="279"/>
    <col min="14337" max="14341" width="4.73046875" style="279" customWidth="1"/>
    <col min="14342" max="14342" width="3.19921875" style="279" customWidth="1"/>
    <col min="14343" max="14343" width="45.19921875" style="279" customWidth="1"/>
    <col min="14344" max="14344" width="9.73046875" style="279" customWidth="1"/>
    <col min="14345" max="14345" width="8.46484375" style="279" customWidth="1"/>
    <col min="14346" max="14346" width="10.53125" style="279" customWidth="1"/>
    <col min="14347" max="14348" width="7.73046875" style="279" customWidth="1"/>
    <col min="14349" max="14349" width="13" style="279" customWidth="1"/>
    <col min="14350" max="14592" width="9.19921875" style="279"/>
    <col min="14593" max="14597" width="4.73046875" style="279" customWidth="1"/>
    <col min="14598" max="14598" width="3.19921875" style="279" customWidth="1"/>
    <col min="14599" max="14599" width="45.19921875" style="279" customWidth="1"/>
    <col min="14600" max="14600" width="9.73046875" style="279" customWidth="1"/>
    <col min="14601" max="14601" width="8.46484375" style="279" customWidth="1"/>
    <col min="14602" max="14602" width="10.53125" style="279" customWidth="1"/>
    <col min="14603" max="14604" width="7.73046875" style="279" customWidth="1"/>
    <col min="14605" max="14605" width="13" style="279" customWidth="1"/>
    <col min="14606" max="14848" width="9.19921875" style="279"/>
    <col min="14849" max="14853" width="4.73046875" style="279" customWidth="1"/>
    <col min="14854" max="14854" width="3.19921875" style="279" customWidth="1"/>
    <col min="14855" max="14855" width="45.19921875" style="279" customWidth="1"/>
    <col min="14856" max="14856" width="9.73046875" style="279" customWidth="1"/>
    <col min="14857" max="14857" width="8.46484375" style="279" customWidth="1"/>
    <col min="14858" max="14858" width="10.53125" style="279" customWidth="1"/>
    <col min="14859" max="14860" width="7.73046875" style="279" customWidth="1"/>
    <col min="14861" max="14861" width="13" style="279" customWidth="1"/>
    <col min="14862" max="15104" width="9.19921875" style="279"/>
    <col min="15105" max="15109" width="4.73046875" style="279" customWidth="1"/>
    <col min="15110" max="15110" width="3.19921875" style="279" customWidth="1"/>
    <col min="15111" max="15111" width="45.19921875" style="279" customWidth="1"/>
    <col min="15112" max="15112" width="9.73046875" style="279" customWidth="1"/>
    <col min="15113" max="15113" width="8.46484375" style="279" customWidth="1"/>
    <col min="15114" max="15114" width="10.53125" style="279" customWidth="1"/>
    <col min="15115" max="15116" width="7.73046875" style="279" customWidth="1"/>
    <col min="15117" max="15117" width="13" style="279" customWidth="1"/>
    <col min="15118" max="15360" width="9.19921875" style="279"/>
    <col min="15361" max="15365" width="4.73046875" style="279" customWidth="1"/>
    <col min="15366" max="15366" width="3.19921875" style="279" customWidth="1"/>
    <col min="15367" max="15367" width="45.19921875" style="279" customWidth="1"/>
    <col min="15368" max="15368" width="9.73046875" style="279" customWidth="1"/>
    <col min="15369" max="15369" width="8.46484375" style="279" customWidth="1"/>
    <col min="15370" max="15370" width="10.53125" style="279" customWidth="1"/>
    <col min="15371" max="15372" width="7.73046875" style="279" customWidth="1"/>
    <col min="15373" max="15373" width="13" style="279" customWidth="1"/>
    <col min="15374" max="15616" width="9.19921875" style="279"/>
    <col min="15617" max="15621" width="4.73046875" style="279" customWidth="1"/>
    <col min="15622" max="15622" width="3.19921875" style="279" customWidth="1"/>
    <col min="15623" max="15623" width="45.19921875" style="279" customWidth="1"/>
    <col min="15624" max="15624" width="9.73046875" style="279" customWidth="1"/>
    <col min="15625" max="15625" width="8.46484375" style="279" customWidth="1"/>
    <col min="15626" max="15626" width="10.53125" style="279" customWidth="1"/>
    <col min="15627" max="15628" width="7.73046875" style="279" customWidth="1"/>
    <col min="15629" max="15629" width="13" style="279" customWidth="1"/>
    <col min="15630" max="15872" width="9.19921875" style="279"/>
    <col min="15873" max="15877" width="4.73046875" style="279" customWidth="1"/>
    <col min="15878" max="15878" width="3.19921875" style="279" customWidth="1"/>
    <col min="15879" max="15879" width="45.19921875" style="279" customWidth="1"/>
    <col min="15880" max="15880" width="9.73046875" style="279" customWidth="1"/>
    <col min="15881" max="15881" width="8.46484375" style="279" customWidth="1"/>
    <col min="15882" max="15882" width="10.53125" style="279" customWidth="1"/>
    <col min="15883" max="15884" width="7.73046875" style="279" customWidth="1"/>
    <col min="15885" max="15885" width="13" style="279" customWidth="1"/>
    <col min="15886" max="16128" width="9.19921875" style="279"/>
    <col min="16129" max="16133" width="4.73046875" style="279" customWidth="1"/>
    <col min="16134" max="16134" width="3.19921875" style="279" customWidth="1"/>
    <col min="16135" max="16135" width="45.19921875" style="279" customWidth="1"/>
    <col min="16136" max="16136" width="9.73046875" style="279" customWidth="1"/>
    <col min="16137" max="16137" width="8.46484375" style="279" customWidth="1"/>
    <col min="16138" max="16138" width="10.53125" style="279" customWidth="1"/>
    <col min="16139" max="16140" width="7.73046875" style="279" customWidth="1"/>
    <col min="16141" max="16141" width="13" style="279" customWidth="1"/>
    <col min="16142" max="16384" width="9.19921875" style="279"/>
  </cols>
  <sheetData>
    <row r="1" spans="1:15" ht="18" customHeight="1" x14ac:dyDescent="0.4">
      <c r="H1" s="1247" t="s">
        <v>298</v>
      </c>
      <c r="I1" s="1247"/>
      <c r="J1" s="1247"/>
      <c r="K1" s="1247"/>
      <c r="L1" s="1247"/>
      <c r="M1" s="1247"/>
    </row>
    <row r="2" spans="1:15" s="282" customFormat="1" ht="15" customHeight="1" x14ac:dyDescent="0.4">
      <c r="A2" s="280"/>
      <c r="B2" s="281"/>
      <c r="C2" s="281"/>
      <c r="D2" s="281"/>
      <c r="E2" s="281"/>
      <c r="F2" s="281"/>
      <c r="G2" s="281"/>
      <c r="H2" s="1247" t="s">
        <v>299</v>
      </c>
      <c r="I2" s="1247"/>
      <c r="J2" s="1247"/>
      <c r="K2" s="1247"/>
      <c r="L2" s="1247"/>
      <c r="M2" s="1247"/>
    </row>
    <row r="3" spans="1:15" s="282" customFormat="1" ht="15" customHeight="1" x14ac:dyDescent="0.4">
      <c r="A3" s="280"/>
      <c r="B3" s="281"/>
      <c r="C3" s="281"/>
      <c r="D3" s="281"/>
      <c r="E3" s="281"/>
      <c r="F3" s="281"/>
      <c r="G3" s="281"/>
      <c r="H3" s="283" t="s">
        <v>300</v>
      </c>
      <c r="I3" s="283"/>
      <c r="J3" s="283"/>
      <c r="K3" s="283"/>
      <c r="L3" s="283"/>
      <c r="M3" s="283"/>
    </row>
    <row r="4" spans="1:15" s="282" customFormat="1" ht="15" customHeight="1" x14ac:dyDescent="0.4">
      <c r="A4" s="280"/>
      <c r="B4" s="281"/>
      <c r="C4" s="281"/>
      <c r="D4" s="281"/>
      <c r="E4" s="281"/>
      <c r="F4" s="281"/>
      <c r="G4" s="281"/>
      <c r="H4" s="283" t="s">
        <v>301</v>
      </c>
      <c r="I4" s="283"/>
      <c r="J4" s="283"/>
      <c r="K4" s="283"/>
      <c r="L4" s="283"/>
      <c r="M4" s="283"/>
    </row>
    <row r="5" spans="1:15" s="282" customFormat="1" ht="15" customHeight="1" x14ac:dyDescent="0.4">
      <c r="A5" s="280"/>
      <c r="B5" s="281"/>
      <c r="C5" s="281"/>
      <c r="D5" s="281"/>
      <c r="E5" s="281"/>
      <c r="F5" s="281"/>
      <c r="G5" s="281"/>
      <c r="H5" s="283" t="s">
        <v>302</v>
      </c>
      <c r="I5" s="283"/>
      <c r="J5" s="283"/>
      <c r="K5" s="283"/>
      <c r="L5" s="283"/>
      <c r="M5" s="283"/>
    </row>
    <row r="6" spans="1:15" s="282" customFormat="1" ht="15" customHeight="1" x14ac:dyDescent="0.4">
      <c r="A6" s="280"/>
      <c r="B6" s="281"/>
      <c r="C6" s="281"/>
      <c r="D6" s="281"/>
      <c r="E6" s="281"/>
      <c r="F6" s="281"/>
      <c r="G6" s="281"/>
      <c r="H6" s="284" t="s">
        <v>303</v>
      </c>
      <c r="I6" s="283"/>
      <c r="J6" s="283"/>
      <c r="K6" s="283"/>
      <c r="L6" s="283"/>
      <c r="M6" s="283"/>
    </row>
    <row r="7" spans="1:15" s="282" customFormat="1" ht="15" customHeight="1" x14ac:dyDescent="0.4">
      <c r="A7" s="280"/>
      <c r="B7" s="281"/>
      <c r="C7" s="281"/>
      <c r="D7" s="281"/>
      <c r="E7" s="281"/>
      <c r="F7" s="281"/>
      <c r="G7" s="281"/>
      <c r="H7" s="284" t="s">
        <v>304</v>
      </c>
      <c r="I7" s="283"/>
      <c r="J7" s="283"/>
      <c r="K7" s="283"/>
      <c r="L7" s="283"/>
      <c r="M7" s="283"/>
    </row>
    <row r="8" spans="1:15" s="282" customFormat="1" ht="15" customHeight="1" x14ac:dyDescent="0.4">
      <c r="A8" s="280"/>
      <c r="B8" s="281"/>
      <c r="C8" s="281"/>
      <c r="D8" s="281"/>
      <c r="E8" s="281"/>
      <c r="F8" s="281"/>
      <c r="G8" s="281"/>
      <c r="H8" s="283" t="s">
        <v>305</v>
      </c>
      <c r="I8" s="283"/>
      <c r="J8" s="283"/>
      <c r="K8" s="283"/>
      <c r="L8" s="283"/>
      <c r="M8" s="283"/>
    </row>
    <row r="9" spans="1:15" s="282" customFormat="1" ht="153" customHeight="1" x14ac:dyDescent="0.4">
      <c r="A9" s="280"/>
      <c r="B9" s="281"/>
      <c r="C9" s="281"/>
      <c r="D9" s="281"/>
      <c r="E9" s="281"/>
      <c r="F9" s="281"/>
      <c r="G9" s="281"/>
      <c r="H9" s="1248" t="s">
        <v>306</v>
      </c>
      <c r="I9" s="1248"/>
      <c r="J9" s="1248"/>
      <c r="K9" s="1248"/>
      <c r="L9" s="1248"/>
      <c r="M9" s="1248"/>
    </row>
    <row r="10" spans="1:15" s="282" customFormat="1" ht="20.2" customHeight="1" x14ac:dyDescent="0.4">
      <c r="A10" s="1249" t="s">
        <v>186</v>
      </c>
      <c r="B10" s="1249"/>
      <c r="C10" s="1249"/>
      <c r="D10" s="1249"/>
      <c r="E10" s="1249"/>
      <c r="F10" s="1249"/>
      <c r="G10" s="1249"/>
      <c r="H10" s="1249"/>
      <c r="I10" s="1249"/>
      <c r="J10" s="1249"/>
      <c r="K10" s="1249"/>
      <c r="L10" s="1249"/>
      <c r="M10" s="1249"/>
      <c r="N10" s="285"/>
    </row>
    <row r="11" spans="1:15" s="282" customFormat="1" ht="20.2" customHeight="1" x14ac:dyDescent="0.4">
      <c r="A11" s="1249" t="s">
        <v>307</v>
      </c>
      <c r="B11" s="1249"/>
      <c r="C11" s="1249"/>
      <c r="D11" s="1249"/>
      <c r="E11" s="1249"/>
      <c r="F11" s="1249"/>
      <c r="G11" s="1249"/>
      <c r="H11" s="1249"/>
      <c r="I11" s="1249"/>
      <c r="J11" s="1249"/>
      <c r="K11" s="1249"/>
      <c r="L11" s="1249"/>
      <c r="M11" s="1249"/>
      <c r="N11" s="285"/>
    </row>
    <row r="12" spans="1:15" s="282" customFormat="1" ht="18.75" customHeight="1" x14ac:dyDescent="0.4">
      <c r="A12" s="1250"/>
      <c r="B12" s="1250"/>
      <c r="C12" s="1250"/>
      <c r="D12" s="1250"/>
      <c r="E12" s="1250"/>
      <c r="F12" s="1250"/>
      <c r="G12" s="1250"/>
      <c r="H12" s="1250"/>
      <c r="I12" s="1250"/>
      <c r="J12" s="1250"/>
      <c r="K12" s="1250"/>
      <c r="L12" s="1250"/>
      <c r="M12" s="1250"/>
      <c r="N12" s="285"/>
    </row>
    <row r="13" spans="1:15" s="282" customFormat="1" ht="18.75" customHeight="1" x14ac:dyDescent="0.4">
      <c r="A13" s="286"/>
      <c r="B13" s="287"/>
      <c r="C13" s="287"/>
      <c r="D13" s="287"/>
      <c r="E13" s="287"/>
      <c r="F13" s="287"/>
      <c r="G13" s="287"/>
      <c r="H13" s="287"/>
      <c r="I13" s="287"/>
      <c r="J13" s="287"/>
      <c r="K13" s="287"/>
      <c r="L13" s="287"/>
      <c r="M13" s="287"/>
      <c r="N13" s="287"/>
    </row>
    <row r="14" spans="1:15" s="282" customFormat="1" ht="18" customHeight="1" x14ac:dyDescent="0.4">
      <c r="A14" s="288" t="s">
        <v>308</v>
      </c>
      <c r="B14" s="281"/>
      <c r="C14" s="281"/>
      <c r="D14" s="281"/>
      <c r="E14" s="281"/>
      <c r="F14" s="281"/>
      <c r="G14" s="281"/>
      <c r="H14" s="1247" t="s">
        <v>309</v>
      </c>
      <c r="I14" s="1247"/>
      <c r="J14" s="1247"/>
      <c r="M14" s="281"/>
      <c r="N14" s="281"/>
    </row>
    <row r="15" spans="1:15" s="282" customFormat="1" ht="20.2" customHeight="1" x14ac:dyDescent="0.4">
      <c r="A15" s="289"/>
      <c r="B15" s="290"/>
      <c r="C15" s="290"/>
      <c r="D15" s="290"/>
      <c r="E15" s="290"/>
      <c r="F15" s="290"/>
      <c r="G15" s="290"/>
      <c r="H15" s="290" t="s">
        <v>310</v>
      </c>
      <c r="I15" s="290"/>
      <c r="K15" s="290"/>
      <c r="L15" s="290"/>
      <c r="M15" s="290"/>
      <c r="N15" s="290"/>
    </row>
    <row r="16" spans="1:15" s="282" customFormat="1" ht="26.2" customHeight="1" x14ac:dyDescent="0.4">
      <c r="A16" s="291" t="s">
        <v>42</v>
      </c>
      <c r="B16" s="1190" t="s">
        <v>311</v>
      </c>
      <c r="C16" s="1191"/>
      <c r="D16" s="1191"/>
      <c r="E16" s="1191"/>
      <c r="F16" s="1191"/>
      <c r="G16" s="1191"/>
      <c r="H16" s="1191"/>
      <c r="I16" s="1191"/>
      <c r="J16" s="1191"/>
      <c r="K16" s="1191"/>
      <c r="L16" s="1191"/>
      <c r="M16" s="1192"/>
      <c r="N16" s="288"/>
      <c r="O16" s="288"/>
    </row>
    <row r="17" spans="1:15" s="282" customFormat="1" ht="21" customHeight="1" x14ac:dyDescent="0.4">
      <c r="A17" s="292" t="s">
        <v>312</v>
      </c>
      <c r="B17" s="1243" t="s">
        <v>313</v>
      </c>
      <c r="C17" s="1244"/>
      <c r="D17" s="1244"/>
      <c r="E17" s="1244"/>
      <c r="F17" s="1244"/>
      <c r="G17" s="1244"/>
      <c r="H17" s="293"/>
      <c r="I17" s="294"/>
      <c r="J17" s="294"/>
      <c r="K17" s="295"/>
      <c r="L17" s="295"/>
      <c r="M17" s="296"/>
      <c r="N17" s="288"/>
      <c r="O17" s="288"/>
    </row>
    <row r="18" spans="1:15" s="290" customFormat="1" ht="21" customHeight="1" x14ac:dyDescent="0.45">
      <c r="A18" s="297" t="s">
        <v>314</v>
      </c>
      <c r="B18" s="1243" t="s">
        <v>315</v>
      </c>
      <c r="C18" s="1244"/>
      <c r="D18" s="1244"/>
      <c r="E18" s="1244"/>
      <c r="F18" s="1244"/>
      <c r="G18" s="1244"/>
      <c r="H18" s="293"/>
      <c r="I18" s="294"/>
      <c r="J18" s="294"/>
      <c r="K18" s="298"/>
      <c r="L18" s="298"/>
      <c r="M18" s="299"/>
      <c r="N18" s="288"/>
      <c r="O18" s="288"/>
    </row>
    <row r="19" spans="1:15" s="290" customFormat="1" ht="21" customHeight="1" x14ac:dyDescent="0.45">
      <c r="A19" s="297" t="s">
        <v>316</v>
      </c>
      <c r="B19" s="1243" t="s">
        <v>317</v>
      </c>
      <c r="C19" s="1244"/>
      <c r="D19" s="1244"/>
      <c r="E19" s="1244"/>
      <c r="F19" s="1244"/>
      <c r="G19" s="1244"/>
      <c r="H19" s="293"/>
      <c r="I19" s="294"/>
      <c r="J19" s="294"/>
      <c r="K19" s="298"/>
      <c r="L19" s="298"/>
      <c r="M19" s="299"/>
      <c r="N19" s="288"/>
      <c r="O19" s="288"/>
    </row>
    <row r="20" spans="1:15" s="290" customFormat="1" ht="21" customHeight="1" x14ac:dyDescent="0.45">
      <c r="A20" s="297" t="s">
        <v>318</v>
      </c>
      <c r="B20" s="1243" t="s">
        <v>319</v>
      </c>
      <c r="C20" s="1244"/>
      <c r="D20" s="1244"/>
      <c r="E20" s="1244"/>
      <c r="F20" s="1244"/>
      <c r="G20" s="1244"/>
      <c r="H20" s="293"/>
      <c r="I20" s="294"/>
      <c r="J20" s="294"/>
      <c r="K20" s="298"/>
      <c r="L20" s="298"/>
      <c r="M20" s="299"/>
      <c r="N20" s="288"/>
      <c r="O20" s="288"/>
    </row>
    <row r="21" spans="1:15" s="290" customFormat="1" ht="21" customHeight="1" x14ac:dyDescent="0.45">
      <c r="A21" s="297" t="s">
        <v>320</v>
      </c>
      <c r="B21" s="1243" t="s">
        <v>321</v>
      </c>
      <c r="C21" s="1244"/>
      <c r="D21" s="1244"/>
      <c r="E21" s="1244"/>
      <c r="F21" s="1244"/>
      <c r="G21" s="1244"/>
      <c r="H21" s="293"/>
      <c r="I21" s="294"/>
      <c r="J21" s="294"/>
      <c r="K21" s="298"/>
      <c r="L21" s="298"/>
      <c r="M21" s="299"/>
      <c r="N21" s="288"/>
      <c r="O21" s="288"/>
    </row>
    <row r="22" spans="1:15" s="290" customFormat="1" ht="21" customHeight="1" x14ac:dyDescent="0.4">
      <c r="A22" s="297" t="s">
        <v>322</v>
      </c>
      <c r="B22" s="1243" t="s">
        <v>323</v>
      </c>
      <c r="C22" s="1244"/>
      <c r="D22" s="1244"/>
      <c r="E22" s="1244"/>
      <c r="F22" s="1244"/>
      <c r="G22" s="1244"/>
      <c r="H22" s="300"/>
      <c r="I22" s="301"/>
      <c r="J22" s="301"/>
      <c r="K22" s="298"/>
      <c r="L22" s="298"/>
      <c r="M22" s="299"/>
      <c r="N22" s="288"/>
      <c r="O22" s="288"/>
    </row>
    <row r="23" spans="1:15" s="290" customFormat="1" ht="21" customHeight="1" x14ac:dyDescent="0.45">
      <c r="A23" s="297" t="s">
        <v>324</v>
      </c>
      <c r="B23" s="1243" t="s">
        <v>325</v>
      </c>
      <c r="C23" s="1244"/>
      <c r="D23" s="1244"/>
      <c r="E23" s="1244"/>
      <c r="F23" s="1244"/>
      <c r="G23" s="1244"/>
      <c r="H23" s="293"/>
      <c r="I23" s="294"/>
      <c r="J23" s="294"/>
      <c r="K23" s="298"/>
      <c r="L23" s="298"/>
      <c r="M23" s="299"/>
      <c r="N23" s="288"/>
      <c r="O23" s="288"/>
    </row>
    <row r="24" spans="1:15" s="290" customFormat="1" ht="21" customHeight="1" x14ac:dyDescent="0.45">
      <c r="A24" s="302" t="s">
        <v>326</v>
      </c>
      <c r="B24" s="1243" t="s">
        <v>327</v>
      </c>
      <c r="C24" s="1244"/>
      <c r="D24" s="1244"/>
      <c r="E24" s="1244"/>
      <c r="F24" s="1244"/>
      <c r="G24" s="1244"/>
      <c r="H24" s="293"/>
      <c r="I24" s="294"/>
      <c r="J24" s="294"/>
      <c r="K24" s="303"/>
      <c r="L24" s="303"/>
      <c r="M24" s="304"/>
      <c r="N24" s="288"/>
      <c r="O24" s="288"/>
    </row>
    <row r="25" spans="1:15" s="290" customFormat="1" ht="21" customHeight="1" x14ac:dyDescent="0.45">
      <c r="A25" s="302" t="s">
        <v>328</v>
      </c>
      <c r="B25" s="1243" t="s">
        <v>329</v>
      </c>
      <c r="C25" s="1244"/>
      <c r="D25" s="1244"/>
      <c r="E25" s="1244"/>
      <c r="F25" s="1244"/>
      <c r="G25" s="1244"/>
      <c r="H25" s="293"/>
      <c r="I25" s="294"/>
      <c r="J25" s="294"/>
      <c r="K25" s="303"/>
      <c r="L25" s="303"/>
      <c r="M25" s="304"/>
      <c r="N25" s="288"/>
      <c r="O25" s="288"/>
    </row>
    <row r="26" spans="1:15" s="290" customFormat="1" ht="21" customHeight="1" x14ac:dyDescent="0.45">
      <c r="A26" s="302" t="s">
        <v>330</v>
      </c>
      <c r="B26" s="1245" t="s">
        <v>331</v>
      </c>
      <c r="C26" s="1246"/>
      <c r="D26" s="1246"/>
      <c r="E26" s="1246"/>
      <c r="F26" s="1246"/>
      <c r="G26" s="1246"/>
      <c r="H26" s="305"/>
      <c r="I26" s="306"/>
      <c r="J26" s="306"/>
      <c r="K26" s="303"/>
      <c r="L26" s="303"/>
      <c r="M26" s="304"/>
      <c r="N26" s="288"/>
      <c r="O26" s="288"/>
    </row>
    <row r="27" spans="1:15" s="290" customFormat="1" ht="20.2" customHeight="1" x14ac:dyDescent="0.45">
      <c r="A27" s="307"/>
      <c r="B27" s="308"/>
      <c r="C27" s="309"/>
      <c r="D27" s="309"/>
      <c r="E27" s="309"/>
      <c r="F27" s="309"/>
      <c r="G27" s="309"/>
      <c r="H27" s="309"/>
      <c r="I27" s="309"/>
      <c r="J27" s="309"/>
      <c r="K27" s="298"/>
      <c r="L27" s="298"/>
      <c r="M27" s="299"/>
      <c r="N27" s="288"/>
      <c r="O27" s="288"/>
    </row>
    <row r="28" spans="1:15" s="290" customFormat="1" ht="22.5" customHeight="1" x14ac:dyDescent="0.45">
      <c r="A28" s="1193" t="s">
        <v>42</v>
      </c>
      <c r="B28" s="1197" t="s">
        <v>332</v>
      </c>
      <c r="C28" s="1197"/>
      <c r="D28" s="1197"/>
      <c r="E28" s="1197"/>
      <c r="F28" s="1197"/>
      <c r="G28" s="1197"/>
      <c r="H28" s="1197"/>
      <c r="I28" s="1197"/>
      <c r="J28" s="1197"/>
      <c r="K28" s="1197"/>
      <c r="L28" s="1197"/>
      <c r="M28" s="1197"/>
      <c r="N28" s="288"/>
      <c r="O28" s="288"/>
    </row>
    <row r="29" spans="1:15" s="290" customFormat="1" ht="18" customHeight="1" x14ac:dyDescent="0.45">
      <c r="A29" s="1194"/>
      <c r="B29" s="1194" t="s">
        <v>333</v>
      </c>
      <c r="C29" s="1194"/>
      <c r="D29" s="1194"/>
      <c r="E29" s="1194"/>
      <c r="F29" s="1194"/>
      <c r="G29" s="1194"/>
      <c r="H29" s="1197" t="s">
        <v>11</v>
      </c>
      <c r="I29" s="1197"/>
      <c r="J29" s="1197"/>
      <c r="K29" s="1197"/>
      <c r="L29" s="1197"/>
      <c r="M29" s="1197"/>
    </row>
    <row r="30" spans="1:15" s="290" customFormat="1" ht="18" customHeight="1" x14ac:dyDescent="0.45">
      <c r="A30" s="1194"/>
      <c r="B30" s="1194"/>
      <c r="C30" s="1194"/>
      <c r="D30" s="1194"/>
      <c r="E30" s="1194"/>
      <c r="F30" s="1194"/>
      <c r="G30" s="1194"/>
      <c r="H30" s="1197" t="s">
        <v>334</v>
      </c>
      <c r="I30" s="1197"/>
      <c r="J30" s="1197"/>
      <c r="K30" s="1197" t="s">
        <v>12</v>
      </c>
      <c r="L30" s="1197"/>
      <c r="M30" s="1197"/>
    </row>
    <row r="31" spans="1:15" s="290" customFormat="1" ht="18" customHeight="1" x14ac:dyDescent="0.45">
      <c r="A31" s="1195"/>
      <c r="B31" s="1195"/>
      <c r="C31" s="1195"/>
      <c r="D31" s="1195"/>
      <c r="E31" s="1195"/>
      <c r="F31" s="1195"/>
      <c r="G31" s="1195"/>
      <c r="H31" s="291" t="s">
        <v>14</v>
      </c>
      <c r="I31" s="291" t="s">
        <v>13</v>
      </c>
      <c r="J31" s="291" t="s">
        <v>16</v>
      </c>
      <c r="K31" s="291" t="s">
        <v>14</v>
      </c>
      <c r="L31" s="291" t="s">
        <v>13</v>
      </c>
      <c r="M31" s="291" t="s">
        <v>16</v>
      </c>
    </row>
    <row r="32" spans="1:15" s="290" customFormat="1" ht="17.25" customHeight="1" x14ac:dyDescent="0.45">
      <c r="A32" s="310">
        <v>1</v>
      </c>
      <c r="B32" s="1190">
        <v>2</v>
      </c>
      <c r="C32" s="1191"/>
      <c r="D32" s="1191"/>
      <c r="E32" s="1191"/>
      <c r="F32" s="1191"/>
      <c r="G32" s="1192"/>
      <c r="H32" s="291">
        <v>3</v>
      </c>
      <c r="I32" s="291">
        <v>4</v>
      </c>
      <c r="J32" s="291">
        <v>5</v>
      </c>
      <c r="K32" s="291">
        <v>6</v>
      </c>
      <c r="L32" s="291">
        <v>7</v>
      </c>
      <c r="M32" s="291">
        <v>8</v>
      </c>
    </row>
    <row r="33" spans="1:13" s="315" customFormat="1" ht="27" customHeight="1" x14ac:dyDescent="0.4">
      <c r="A33" s="311" t="s">
        <v>2</v>
      </c>
      <c r="B33" s="1232" t="s">
        <v>335</v>
      </c>
      <c r="C33" s="1233"/>
      <c r="D33" s="1233"/>
      <c r="E33" s="1233"/>
      <c r="F33" s="1233"/>
      <c r="G33" s="1233"/>
      <c r="H33" s="312"/>
      <c r="I33" s="313"/>
      <c r="J33" s="291">
        <f>H33+I33</f>
        <v>0</v>
      </c>
      <c r="K33" s="314"/>
      <c r="L33" s="314"/>
      <c r="M33" s="314"/>
    </row>
    <row r="34" spans="1:13" s="315" customFormat="1" ht="21" customHeight="1" x14ac:dyDescent="0.4">
      <c r="A34" s="316"/>
      <c r="B34" s="317" t="s">
        <v>15</v>
      </c>
      <c r="C34" s="1234" t="s">
        <v>336</v>
      </c>
      <c r="D34" s="1235"/>
      <c r="E34" s="1235"/>
      <c r="F34" s="1235"/>
      <c r="G34" s="1236"/>
      <c r="H34" s="312"/>
      <c r="I34" s="313"/>
      <c r="J34" s="291">
        <f t="shared" ref="J34:J41" si="0">H34+I34</f>
        <v>0</v>
      </c>
      <c r="K34" s="314"/>
      <c r="L34" s="314"/>
      <c r="M34" s="314"/>
    </row>
    <row r="35" spans="1:13" ht="21" customHeight="1" x14ac:dyDescent="0.4">
      <c r="A35" s="318"/>
      <c r="B35" s="319"/>
      <c r="C35" s="320">
        <v>1</v>
      </c>
      <c r="D35" s="1234" t="s">
        <v>185</v>
      </c>
      <c r="E35" s="1235"/>
      <c r="F35" s="1235"/>
      <c r="G35" s="1236"/>
      <c r="H35" s="321"/>
      <c r="I35" s="320"/>
      <c r="J35" s="291">
        <f t="shared" si="0"/>
        <v>0</v>
      </c>
      <c r="K35" s="322"/>
      <c r="L35" s="322"/>
      <c r="M35" s="322"/>
    </row>
    <row r="36" spans="1:13" ht="21" customHeight="1" x14ac:dyDescent="0.4">
      <c r="A36" s="323"/>
      <c r="B36" s="324"/>
      <c r="C36" s="320">
        <v>2</v>
      </c>
      <c r="D36" s="325" t="s">
        <v>337</v>
      </c>
      <c r="E36" s="326"/>
      <c r="F36" s="326"/>
      <c r="G36" s="327"/>
      <c r="H36" s="321"/>
      <c r="I36" s="320"/>
      <c r="J36" s="291">
        <f t="shared" si="0"/>
        <v>0</v>
      </c>
      <c r="K36" s="322"/>
      <c r="L36" s="322"/>
      <c r="M36" s="322"/>
    </row>
    <row r="37" spans="1:13" ht="21" customHeight="1" x14ac:dyDescent="0.4">
      <c r="A37" s="323"/>
      <c r="B37" s="328" t="s">
        <v>17</v>
      </c>
      <c r="C37" s="1237" t="s">
        <v>338</v>
      </c>
      <c r="D37" s="1238"/>
      <c r="E37" s="1238"/>
      <c r="F37" s="1238"/>
      <c r="G37" s="1239"/>
      <c r="H37" s="321"/>
      <c r="I37" s="320"/>
      <c r="J37" s="291">
        <f t="shared" si="0"/>
        <v>0</v>
      </c>
      <c r="K37" s="322"/>
      <c r="L37" s="322"/>
      <c r="M37" s="322"/>
    </row>
    <row r="38" spans="1:13" ht="21" customHeight="1" x14ac:dyDescent="0.4">
      <c r="A38" s="329"/>
      <c r="B38" s="319"/>
      <c r="C38" s="320"/>
      <c r="D38" s="325" t="s">
        <v>339</v>
      </c>
      <c r="E38" s="326"/>
      <c r="F38" s="326"/>
      <c r="G38" s="327"/>
      <c r="H38" s="321"/>
      <c r="I38" s="330"/>
      <c r="J38" s="291">
        <f t="shared" si="0"/>
        <v>0</v>
      </c>
      <c r="K38" s="322"/>
      <c r="L38" s="322"/>
      <c r="M38" s="322"/>
    </row>
    <row r="39" spans="1:13" ht="27" customHeight="1" x14ac:dyDescent="0.4">
      <c r="A39" s="331" t="s">
        <v>10</v>
      </c>
      <c r="B39" s="1240" t="s">
        <v>340</v>
      </c>
      <c r="C39" s="1241"/>
      <c r="D39" s="1241"/>
      <c r="E39" s="1241"/>
      <c r="F39" s="1241"/>
      <c r="G39" s="1242"/>
      <c r="H39" s="321"/>
      <c r="I39" s="330"/>
      <c r="J39" s="291">
        <f t="shared" si="0"/>
        <v>0</v>
      </c>
      <c r="K39" s="322"/>
      <c r="L39" s="322"/>
      <c r="M39" s="322"/>
    </row>
    <row r="40" spans="1:13" ht="65.25" customHeight="1" x14ac:dyDescent="0.4">
      <c r="A40" s="332"/>
      <c r="B40" s="333" t="s">
        <v>15</v>
      </c>
      <c r="C40" s="1202" t="s">
        <v>341</v>
      </c>
      <c r="D40" s="1203"/>
      <c r="E40" s="1203"/>
      <c r="F40" s="1203"/>
      <c r="G40" s="1204"/>
      <c r="H40" s="321"/>
      <c r="I40" s="334"/>
      <c r="J40" s="291">
        <f t="shared" si="0"/>
        <v>0</v>
      </c>
      <c r="K40" s="322"/>
      <c r="L40" s="322"/>
      <c r="M40" s="322"/>
    </row>
    <row r="41" spans="1:13" ht="120" customHeight="1" x14ac:dyDescent="0.4">
      <c r="A41" s="332"/>
      <c r="B41" s="335"/>
      <c r="C41" s="336"/>
      <c r="D41" s="1229" t="s">
        <v>342</v>
      </c>
      <c r="E41" s="1230"/>
      <c r="F41" s="1230"/>
      <c r="G41" s="1231"/>
      <c r="H41" s="337"/>
      <c r="I41" s="337"/>
      <c r="J41" s="291">
        <f t="shared" si="0"/>
        <v>0</v>
      </c>
      <c r="K41" s="337"/>
      <c r="L41" s="337"/>
      <c r="M41" s="337"/>
    </row>
    <row r="42" spans="1:13" ht="20.25" customHeight="1" x14ac:dyDescent="0.4">
      <c r="A42" s="332"/>
      <c r="B42" s="335"/>
      <c r="C42" s="336"/>
      <c r="D42" s="338"/>
      <c r="E42" s="338"/>
      <c r="F42" s="338"/>
      <c r="G42" s="339"/>
      <c r="H42" s="337"/>
      <c r="I42" s="340"/>
      <c r="J42" s="337"/>
      <c r="K42" s="337"/>
      <c r="L42" s="337"/>
      <c r="M42" s="337"/>
    </row>
    <row r="43" spans="1:13" ht="20.25" customHeight="1" x14ac:dyDescent="0.4">
      <c r="A43" s="1193" t="s">
        <v>42</v>
      </c>
      <c r="B43" s="1196" t="s">
        <v>332</v>
      </c>
      <c r="C43" s="1196"/>
      <c r="D43" s="1196"/>
      <c r="E43" s="1196"/>
      <c r="F43" s="1196"/>
      <c r="G43" s="1196"/>
      <c r="H43" s="1196"/>
      <c r="I43" s="1196"/>
      <c r="J43" s="1196"/>
      <c r="K43" s="1196"/>
      <c r="L43" s="1196"/>
      <c r="M43" s="1196"/>
    </row>
    <row r="44" spans="1:13" ht="20.25" customHeight="1" x14ac:dyDescent="0.4">
      <c r="A44" s="1194"/>
      <c r="B44" s="1194" t="s">
        <v>333</v>
      </c>
      <c r="C44" s="1194"/>
      <c r="D44" s="1194"/>
      <c r="E44" s="1194"/>
      <c r="F44" s="1194"/>
      <c r="G44" s="1194"/>
      <c r="H44" s="1197" t="s">
        <v>11</v>
      </c>
      <c r="I44" s="1197"/>
      <c r="J44" s="1197"/>
      <c r="K44" s="1197"/>
      <c r="L44" s="1197"/>
      <c r="M44" s="1197"/>
    </row>
    <row r="45" spans="1:13" ht="20.25" customHeight="1" x14ac:dyDescent="0.4">
      <c r="A45" s="1194"/>
      <c r="B45" s="1194"/>
      <c r="C45" s="1194"/>
      <c r="D45" s="1194"/>
      <c r="E45" s="1194"/>
      <c r="F45" s="1194"/>
      <c r="G45" s="1194"/>
      <c r="H45" s="1197" t="s">
        <v>334</v>
      </c>
      <c r="I45" s="1197"/>
      <c r="J45" s="1197"/>
      <c r="K45" s="1197" t="s">
        <v>12</v>
      </c>
      <c r="L45" s="1197"/>
      <c r="M45" s="1197"/>
    </row>
    <row r="46" spans="1:13" ht="20.25" customHeight="1" x14ac:dyDescent="0.4">
      <c r="A46" s="1195"/>
      <c r="B46" s="1195"/>
      <c r="C46" s="1195"/>
      <c r="D46" s="1195"/>
      <c r="E46" s="1195"/>
      <c r="F46" s="1195"/>
      <c r="G46" s="1195"/>
      <c r="H46" s="291" t="s">
        <v>14</v>
      </c>
      <c r="I46" s="291" t="s">
        <v>13</v>
      </c>
      <c r="J46" s="291" t="s">
        <v>16</v>
      </c>
      <c r="K46" s="291" t="s">
        <v>14</v>
      </c>
      <c r="L46" s="291" t="s">
        <v>13</v>
      </c>
      <c r="M46" s="291" t="s">
        <v>16</v>
      </c>
    </row>
    <row r="47" spans="1:13" ht="20.25" customHeight="1" x14ac:dyDescent="0.4">
      <c r="A47" s="310">
        <v>1</v>
      </c>
      <c r="B47" s="1190">
        <v>2</v>
      </c>
      <c r="C47" s="1191"/>
      <c r="D47" s="1191"/>
      <c r="E47" s="1191"/>
      <c r="F47" s="1191"/>
      <c r="G47" s="1192"/>
      <c r="H47" s="291">
        <v>3</v>
      </c>
      <c r="I47" s="291">
        <v>4</v>
      </c>
      <c r="J47" s="291">
        <v>5</v>
      </c>
      <c r="K47" s="291">
        <v>6</v>
      </c>
      <c r="L47" s="291">
        <v>7</v>
      </c>
      <c r="M47" s="291">
        <v>8</v>
      </c>
    </row>
    <row r="48" spans="1:13" ht="24" customHeight="1" x14ac:dyDescent="0.4">
      <c r="A48" s="341"/>
      <c r="B48" s="342" t="s">
        <v>17</v>
      </c>
      <c r="C48" s="1205" t="s">
        <v>147</v>
      </c>
      <c r="D48" s="1206"/>
      <c r="E48" s="1206"/>
      <c r="F48" s="1206"/>
      <c r="G48" s="1207"/>
      <c r="H48" s="321"/>
      <c r="I48" s="334"/>
      <c r="J48" s="321"/>
      <c r="K48" s="322"/>
      <c r="L48" s="322"/>
      <c r="M48" s="322"/>
    </row>
    <row r="49" spans="1:13" ht="21" customHeight="1" x14ac:dyDescent="0.4">
      <c r="A49" s="332"/>
      <c r="B49" s="343"/>
      <c r="C49" s="344"/>
      <c r="D49" s="1205" t="s">
        <v>343</v>
      </c>
      <c r="E49" s="1206"/>
      <c r="F49" s="1206"/>
      <c r="G49" s="1207"/>
      <c r="H49" s="321"/>
      <c r="I49" s="334"/>
      <c r="J49" s="291">
        <f t="shared" ref="J49" si="1">H49+I49</f>
        <v>0</v>
      </c>
      <c r="K49" s="322"/>
      <c r="L49" s="322"/>
      <c r="M49" s="322"/>
    </row>
    <row r="50" spans="1:13" ht="36" customHeight="1" x14ac:dyDescent="0.4">
      <c r="A50" s="345"/>
      <c r="B50" s="346" t="s">
        <v>118</v>
      </c>
      <c r="C50" s="1202" t="s">
        <v>344</v>
      </c>
      <c r="D50" s="1203"/>
      <c r="E50" s="1203"/>
      <c r="F50" s="1203"/>
      <c r="G50" s="1204"/>
      <c r="H50" s="347"/>
      <c r="I50" s="334"/>
      <c r="J50" s="321"/>
      <c r="K50" s="322"/>
      <c r="L50" s="322"/>
      <c r="M50" s="322"/>
    </row>
    <row r="51" spans="1:13" ht="35.25" customHeight="1" x14ac:dyDescent="0.4">
      <c r="A51" s="345"/>
      <c r="B51" s="348"/>
      <c r="C51" s="344"/>
      <c r="D51" s="1205" t="s">
        <v>345</v>
      </c>
      <c r="E51" s="1206"/>
      <c r="F51" s="1206"/>
      <c r="G51" s="1207"/>
      <c r="H51" s="347"/>
      <c r="I51" s="334"/>
      <c r="J51" s="291">
        <f t="shared" ref="J51" si="2">H51+I51</f>
        <v>0</v>
      </c>
      <c r="K51" s="322"/>
      <c r="L51" s="322"/>
      <c r="M51" s="322"/>
    </row>
    <row r="52" spans="1:13" ht="33" customHeight="1" x14ac:dyDescent="0.4">
      <c r="A52" s="349"/>
      <c r="B52" s="333" t="s">
        <v>119</v>
      </c>
      <c r="C52" s="1202" t="s">
        <v>346</v>
      </c>
      <c r="D52" s="1203"/>
      <c r="E52" s="1203"/>
      <c r="F52" s="1203"/>
      <c r="G52" s="1204"/>
      <c r="H52" s="347"/>
      <c r="I52" s="334"/>
      <c r="J52" s="321"/>
      <c r="K52" s="322"/>
      <c r="L52" s="322"/>
      <c r="M52" s="322"/>
    </row>
    <row r="53" spans="1:13" ht="21" customHeight="1" x14ac:dyDescent="0.4">
      <c r="A53" s="349"/>
      <c r="B53" s="350"/>
      <c r="C53" s="343">
        <v>1</v>
      </c>
      <c r="D53" s="1205" t="s">
        <v>347</v>
      </c>
      <c r="E53" s="1206"/>
      <c r="F53" s="1206"/>
      <c r="G53" s="1207"/>
      <c r="H53" s="347"/>
      <c r="I53" s="334"/>
      <c r="J53" s="291">
        <f t="shared" ref="J53:J57" si="3">H53+I53</f>
        <v>0</v>
      </c>
      <c r="K53" s="322"/>
      <c r="L53" s="322"/>
      <c r="M53" s="322"/>
    </row>
    <row r="54" spans="1:13" ht="21" customHeight="1" x14ac:dyDescent="0.4">
      <c r="A54" s="349"/>
      <c r="B54" s="350"/>
      <c r="C54" s="351"/>
      <c r="D54" s="342" t="s">
        <v>348</v>
      </c>
      <c r="E54" s="1184" t="s">
        <v>349</v>
      </c>
      <c r="F54" s="1184"/>
      <c r="G54" s="1184"/>
      <c r="H54" s="347"/>
      <c r="I54" s="334"/>
      <c r="J54" s="291">
        <f t="shared" si="3"/>
        <v>0</v>
      </c>
      <c r="K54" s="322"/>
      <c r="L54" s="322"/>
      <c r="M54" s="322"/>
    </row>
    <row r="55" spans="1:13" ht="21" customHeight="1" x14ac:dyDescent="0.4">
      <c r="A55" s="349"/>
      <c r="B55" s="350"/>
      <c r="C55" s="351"/>
      <c r="D55" s="342" t="s">
        <v>350</v>
      </c>
      <c r="E55" s="1184" t="s">
        <v>351</v>
      </c>
      <c r="F55" s="1184"/>
      <c r="G55" s="1184"/>
      <c r="H55" s="347"/>
      <c r="I55" s="334"/>
      <c r="J55" s="291">
        <f t="shared" si="3"/>
        <v>0</v>
      </c>
      <c r="K55" s="322"/>
      <c r="L55" s="322"/>
      <c r="M55" s="322"/>
    </row>
    <row r="56" spans="1:13" ht="21" customHeight="1" x14ac:dyDescent="0.4">
      <c r="A56" s="349"/>
      <c r="B56" s="350"/>
      <c r="C56" s="351"/>
      <c r="D56" s="342" t="s">
        <v>352</v>
      </c>
      <c r="E56" s="1184" t="s">
        <v>296</v>
      </c>
      <c r="F56" s="1184"/>
      <c r="G56" s="1184"/>
      <c r="H56" s="347"/>
      <c r="I56" s="334"/>
      <c r="J56" s="291">
        <f t="shared" si="3"/>
        <v>0</v>
      </c>
      <c r="K56" s="322"/>
      <c r="L56" s="322"/>
      <c r="M56" s="322"/>
    </row>
    <row r="57" spans="1:13" ht="21" customHeight="1" x14ac:dyDescent="0.4">
      <c r="A57" s="352"/>
      <c r="B57" s="350"/>
      <c r="C57" s="353"/>
      <c r="D57" s="342" t="s">
        <v>353</v>
      </c>
      <c r="E57" s="1184" t="s">
        <v>354</v>
      </c>
      <c r="F57" s="1184"/>
      <c r="G57" s="1184"/>
      <c r="H57" s="354"/>
      <c r="I57" s="355"/>
      <c r="J57" s="291">
        <f t="shared" si="3"/>
        <v>0</v>
      </c>
      <c r="K57" s="355"/>
      <c r="L57" s="355"/>
      <c r="M57" s="355"/>
    </row>
    <row r="58" spans="1:13" ht="21" customHeight="1" x14ac:dyDescent="0.4">
      <c r="A58" s="352"/>
      <c r="B58" s="350"/>
      <c r="C58" s="343">
        <v>2</v>
      </c>
      <c r="D58" s="1184" t="s">
        <v>355</v>
      </c>
      <c r="E58" s="1184"/>
      <c r="F58" s="1184"/>
      <c r="G58" s="1184"/>
      <c r="H58" s="356"/>
      <c r="I58" s="357"/>
      <c r="J58" s="357"/>
      <c r="K58" s="357"/>
      <c r="L58" s="357"/>
      <c r="M58" s="357"/>
    </row>
    <row r="59" spans="1:13" ht="21" customHeight="1" x14ac:dyDescent="0.4">
      <c r="A59" s="352"/>
      <c r="B59" s="350"/>
      <c r="C59" s="350"/>
      <c r="D59" s="342" t="s">
        <v>348</v>
      </c>
      <c r="E59" s="1184" t="s">
        <v>349</v>
      </c>
      <c r="F59" s="1184"/>
      <c r="G59" s="1184"/>
      <c r="H59" s="356"/>
      <c r="I59" s="357"/>
      <c r="J59" s="291">
        <f t="shared" ref="J59:J62" si="4">H59+I59</f>
        <v>0</v>
      </c>
      <c r="K59" s="357"/>
      <c r="L59" s="357"/>
      <c r="M59" s="357"/>
    </row>
    <row r="60" spans="1:13" ht="21" customHeight="1" x14ac:dyDescent="0.4">
      <c r="A60" s="352"/>
      <c r="B60" s="350"/>
      <c r="C60" s="350"/>
      <c r="D60" s="342" t="s">
        <v>350</v>
      </c>
      <c r="E60" s="1184" t="s">
        <v>351</v>
      </c>
      <c r="F60" s="1184"/>
      <c r="G60" s="1184"/>
      <c r="H60" s="297"/>
      <c r="I60" s="291"/>
      <c r="J60" s="291">
        <f t="shared" si="4"/>
        <v>0</v>
      </c>
      <c r="K60" s="291"/>
      <c r="L60" s="291"/>
      <c r="M60" s="291"/>
    </row>
    <row r="61" spans="1:13" s="290" customFormat="1" ht="21" customHeight="1" x14ac:dyDescent="0.45">
      <c r="A61" s="316"/>
      <c r="B61" s="350"/>
      <c r="C61" s="350"/>
      <c r="D61" s="342" t="s">
        <v>352</v>
      </c>
      <c r="E61" s="1184" t="s">
        <v>296</v>
      </c>
      <c r="F61" s="1184"/>
      <c r="G61" s="1184"/>
      <c r="H61" s="297"/>
      <c r="I61" s="291"/>
      <c r="J61" s="291">
        <f t="shared" si="4"/>
        <v>0</v>
      </c>
      <c r="K61" s="291"/>
      <c r="L61" s="291"/>
      <c r="M61" s="291"/>
    </row>
    <row r="62" spans="1:13" ht="21" customHeight="1" x14ac:dyDescent="0.4">
      <c r="A62" s="358"/>
      <c r="B62" s="348"/>
      <c r="C62" s="348"/>
      <c r="D62" s="348" t="s">
        <v>353</v>
      </c>
      <c r="E62" s="1223" t="s">
        <v>354</v>
      </c>
      <c r="F62" s="1224"/>
      <c r="G62" s="1225"/>
      <c r="H62" s="359"/>
      <c r="I62" s="330"/>
      <c r="J62" s="291">
        <f t="shared" si="4"/>
        <v>0</v>
      </c>
      <c r="K62" s="322"/>
      <c r="L62" s="322"/>
      <c r="M62" s="322"/>
    </row>
    <row r="63" spans="1:13" ht="21" customHeight="1" x14ac:dyDescent="0.4">
      <c r="A63" s="349"/>
      <c r="B63" s="343" t="s">
        <v>120</v>
      </c>
      <c r="C63" s="1205" t="s">
        <v>356</v>
      </c>
      <c r="D63" s="1206"/>
      <c r="E63" s="1206"/>
      <c r="F63" s="1206"/>
      <c r="G63" s="1207"/>
      <c r="H63" s="359"/>
      <c r="I63" s="330"/>
      <c r="J63" s="321"/>
      <c r="K63" s="322"/>
      <c r="L63" s="322"/>
      <c r="M63" s="322"/>
    </row>
    <row r="64" spans="1:13" ht="21" customHeight="1" x14ac:dyDescent="0.4">
      <c r="A64" s="349"/>
      <c r="B64" s="350"/>
      <c r="C64" s="342">
        <v>1</v>
      </c>
      <c r="D64" s="1205" t="s">
        <v>357</v>
      </c>
      <c r="E64" s="1206"/>
      <c r="F64" s="1206"/>
      <c r="G64" s="1207"/>
      <c r="H64" s="359"/>
      <c r="I64" s="330"/>
      <c r="J64" s="291">
        <f t="shared" ref="J64:J65" si="5">H64+I64</f>
        <v>0</v>
      </c>
      <c r="K64" s="322"/>
      <c r="L64" s="322"/>
      <c r="M64" s="322"/>
    </row>
    <row r="65" spans="1:13" ht="21" customHeight="1" x14ac:dyDescent="0.4">
      <c r="A65" s="349"/>
      <c r="B65" s="348"/>
      <c r="C65" s="342">
        <v>2</v>
      </c>
      <c r="D65" s="1205" t="s">
        <v>358</v>
      </c>
      <c r="E65" s="1206"/>
      <c r="F65" s="1206"/>
      <c r="G65" s="1207"/>
      <c r="H65" s="359"/>
      <c r="I65" s="330"/>
      <c r="J65" s="291">
        <f t="shared" si="5"/>
        <v>0</v>
      </c>
      <c r="K65" s="322"/>
      <c r="L65" s="322"/>
      <c r="M65" s="322"/>
    </row>
    <row r="66" spans="1:13" ht="21" customHeight="1" x14ac:dyDescent="0.4">
      <c r="A66" s="349"/>
      <c r="B66" s="343" t="s">
        <v>121</v>
      </c>
      <c r="C66" s="1205" t="s">
        <v>128</v>
      </c>
      <c r="D66" s="1206"/>
      <c r="E66" s="1206"/>
      <c r="F66" s="1206"/>
      <c r="G66" s="1207"/>
      <c r="H66" s="359"/>
      <c r="I66" s="330"/>
      <c r="J66" s="321"/>
      <c r="K66" s="322"/>
      <c r="L66" s="322"/>
      <c r="M66" s="322"/>
    </row>
    <row r="67" spans="1:13" ht="34.5" customHeight="1" x14ac:dyDescent="0.4">
      <c r="A67" s="349"/>
      <c r="B67" s="348"/>
      <c r="C67" s="360"/>
      <c r="D67" s="1205" t="s">
        <v>359</v>
      </c>
      <c r="E67" s="1206"/>
      <c r="F67" s="1206"/>
      <c r="G67" s="1207"/>
      <c r="H67" s="359"/>
      <c r="I67" s="330"/>
      <c r="J67" s="291">
        <f t="shared" ref="J67" si="6">H67+I67</f>
        <v>0</v>
      </c>
      <c r="K67" s="322"/>
      <c r="L67" s="322"/>
      <c r="M67" s="322"/>
    </row>
    <row r="68" spans="1:13" ht="21" customHeight="1" x14ac:dyDescent="0.4">
      <c r="A68" s="349"/>
      <c r="B68" s="343" t="s">
        <v>122</v>
      </c>
      <c r="C68" s="1205" t="s">
        <v>20</v>
      </c>
      <c r="D68" s="1206"/>
      <c r="E68" s="1206"/>
      <c r="F68" s="1206"/>
      <c r="G68" s="1207"/>
      <c r="H68" s="359"/>
      <c r="I68" s="330"/>
      <c r="J68" s="321"/>
      <c r="K68" s="322"/>
      <c r="L68" s="322"/>
      <c r="M68" s="322"/>
    </row>
    <row r="69" spans="1:13" ht="21" customHeight="1" x14ac:dyDescent="0.4">
      <c r="A69" s="349"/>
      <c r="B69" s="348"/>
      <c r="C69" s="360"/>
      <c r="D69" s="1205" t="s">
        <v>360</v>
      </c>
      <c r="E69" s="1206"/>
      <c r="F69" s="1206"/>
      <c r="G69" s="1207"/>
      <c r="H69" s="359"/>
      <c r="I69" s="330"/>
      <c r="J69" s="291">
        <f t="shared" ref="J69" si="7">H69+I69</f>
        <v>0</v>
      </c>
      <c r="K69" s="322"/>
      <c r="L69" s="322"/>
      <c r="M69" s="322"/>
    </row>
    <row r="70" spans="1:13" ht="21" customHeight="1" x14ac:dyDescent="0.4">
      <c r="A70" s="349"/>
      <c r="B70" s="343" t="s">
        <v>123</v>
      </c>
      <c r="C70" s="1205" t="s">
        <v>361</v>
      </c>
      <c r="D70" s="1206"/>
      <c r="E70" s="1206"/>
      <c r="F70" s="1206"/>
      <c r="G70" s="1207"/>
      <c r="H70" s="359"/>
      <c r="I70" s="330"/>
      <c r="J70" s="321"/>
      <c r="K70" s="322"/>
      <c r="L70" s="322"/>
      <c r="M70" s="322"/>
    </row>
    <row r="71" spans="1:13" ht="21" customHeight="1" x14ac:dyDescent="0.4">
      <c r="A71" s="349"/>
      <c r="B71" s="350"/>
      <c r="C71" s="342">
        <v>1</v>
      </c>
      <c r="D71" s="1205" t="s">
        <v>362</v>
      </c>
      <c r="E71" s="1206"/>
      <c r="F71" s="1206"/>
      <c r="G71" s="1207"/>
      <c r="H71" s="359"/>
      <c r="I71" s="330"/>
      <c r="J71" s="291">
        <f t="shared" ref="J71:J72" si="8">H71+I71</f>
        <v>0</v>
      </c>
      <c r="K71" s="322"/>
      <c r="L71" s="322"/>
      <c r="M71" s="322"/>
    </row>
    <row r="72" spans="1:13" ht="33.75" customHeight="1" x14ac:dyDescent="0.4">
      <c r="A72" s="349"/>
      <c r="B72" s="348"/>
      <c r="C72" s="361">
        <v>2</v>
      </c>
      <c r="D72" s="1202" t="s">
        <v>363</v>
      </c>
      <c r="E72" s="1203"/>
      <c r="F72" s="1203"/>
      <c r="G72" s="1204"/>
      <c r="H72" s="359"/>
      <c r="I72" s="330"/>
      <c r="J72" s="291">
        <f t="shared" si="8"/>
        <v>0</v>
      </c>
      <c r="K72" s="322"/>
      <c r="L72" s="322"/>
      <c r="M72" s="322"/>
    </row>
    <row r="73" spans="1:13" ht="20.2" customHeight="1" x14ac:dyDescent="0.4">
      <c r="A73" s="349"/>
      <c r="B73" s="343" t="s">
        <v>2</v>
      </c>
      <c r="C73" s="1205" t="s">
        <v>364</v>
      </c>
      <c r="D73" s="1206"/>
      <c r="E73" s="1206"/>
      <c r="F73" s="1206"/>
      <c r="G73" s="1207"/>
      <c r="H73" s="359"/>
      <c r="I73" s="330"/>
      <c r="J73" s="321"/>
      <c r="K73" s="322"/>
      <c r="L73" s="322"/>
      <c r="M73" s="322"/>
    </row>
    <row r="74" spans="1:13" ht="35.25" customHeight="1" x14ac:dyDescent="0.4">
      <c r="A74" s="349"/>
      <c r="B74" s="348"/>
      <c r="C74" s="360"/>
      <c r="D74" s="1205" t="s">
        <v>365</v>
      </c>
      <c r="E74" s="1206"/>
      <c r="F74" s="1206"/>
      <c r="G74" s="1207"/>
      <c r="H74" s="359"/>
      <c r="I74" s="330"/>
      <c r="J74" s="291">
        <f t="shared" ref="J74" si="9">H74+I74</f>
        <v>0</v>
      </c>
      <c r="K74" s="322"/>
      <c r="L74" s="322"/>
      <c r="M74" s="322"/>
    </row>
    <row r="75" spans="1:13" ht="20.2" customHeight="1" x14ac:dyDescent="0.4">
      <c r="A75" s="349"/>
      <c r="B75" s="343" t="s">
        <v>125</v>
      </c>
      <c r="C75" s="1205" t="s">
        <v>22</v>
      </c>
      <c r="D75" s="1206"/>
      <c r="E75" s="1206"/>
      <c r="F75" s="1206"/>
      <c r="G75" s="1207"/>
      <c r="H75" s="359"/>
      <c r="I75" s="330"/>
      <c r="J75" s="321"/>
      <c r="K75" s="322"/>
      <c r="L75" s="322"/>
      <c r="M75" s="322"/>
    </row>
    <row r="76" spans="1:13" ht="20.2" customHeight="1" x14ac:dyDescent="0.4">
      <c r="A76" s="349"/>
      <c r="B76" s="350"/>
      <c r="C76" s="342">
        <v>1</v>
      </c>
      <c r="D76" s="1205" t="s">
        <v>366</v>
      </c>
      <c r="E76" s="1206"/>
      <c r="F76" s="1206"/>
      <c r="G76" s="1207"/>
      <c r="H76" s="359"/>
      <c r="I76" s="330"/>
      <c r="J76" s="291">
        <f t="shared" ref="J76:J83" si="10">H76+I76</f>
        <v>0</v>
      </c>
      <c r="K76" s="322"/>
      <c r="L76" s="322"/>
      <c r="M76" s="322"/>
    </row>
    <row r="77" spans="1:13" ht="34.5" customHeight="1" x14ac:dyDescent="0.4">
      <c r="A77" s="349"/>
      <c r="B77" s="350"/>
      <c r="C77" s="361">
        <v>2</v>
      </c>
      <c r="D77" s="1220" t="s">
        <v>367</v>
      </c>
      <c r="E77" s="1221"/>
      <c r="F77" s="1221"/>
      <c r="G77" s="1222"/>
      <c r="H77" s="359"/>
      <c r="I77" s="330"/>
      <c r="J77" s="291">
        <f t="shared" si="10"/>
        <v>0</v>
      </c>
      <c r="K77" s="322"/>
      <c r="L77" s="322"/>
      <c r="M77" s="322"/>
    </row>
    <row r="78" spans="1:13" ht="33.75" customHeight="1" x14ac:dyDescent="0.4">
      <c r="A78" s="349"/>
      <c r="B78" s="350"/>
      <c r="C78" s="361">
        <v>3</v>
      </c>
      <c r="D78" s="1202" t="s">
        <v>368</v>
      </c>
      <c r="E78" s="1203"/>
      <c r="F78" s="1203"/>
      <c r="G78" s="1204"/>
      <c r="H78" s="359"/>
      <c r="I78" s="330"/>
      <c r="J78" s="291">
        <f t="shared" si="10"/>
        <v>0</v>
      </c>
      <c r="K78" s="322"/>
      <c r="L78" s="322"/>
      <c r="M78" s="322"/>
    </row>
    <row r="79" spans="1:13" ht="33.75" customHeight="1" x14ac:dyDescent="0.4">
      <c r="A79" s="349"/>
      <c r="B79" s="350"/>
      <c r="C79" s="361">
        <v>4</v>
      </c>
      <c r="D79" s="1202" t="s">
        <v>369</v>
      </c>
      <c r="E79" s="1203"/>
      <c r="F79" s="1203"/>
      <c r="G79" s="1204"/>
      <c r="H79" s="359"/>
      <c r="I79" s="330"/>
      <c r="J79" s="291">
        <f t="shared" si="10"/>
        <v>0</v>
      </c>
      <c r="K79" s="322"/>
      <c r="L79" s="322"/>
      <c r="M79" s="322"/>
    </row>
    <row r="80" spans="1:13" s="278" customFormat="1" ht="20.2" customHeight="1" x14ac:dyDescent="0.45">
      <c r="A80" s="349"/>
      <c r="B80" s="350"/>
      <c r="C80" s="342">
        <v>5</v>
      </c>
      <c r="D80" s="1205" t="s">
        <v>370</v>
      </c>
      <c r="E80" s="1206"/>
      <c r="F80" s="1206"/>
      <c r="G80" s="1207"/>
      <c r="H80" s="359"/>
      <c r="I80" s="362"/>
      <c r="J80" s="291">
        <f t="shared" si="10"/>
        <v>0</v>
      </c>
      <c r="K80" s="363"/>
      <c r="L80" s="363"/>
      <c r="M80" s="363"/>
    </row>
    <row r="81" spans="1:13" ht="32.25" customHeight="1" x14ac:dyDescent="0.4">
      <c r="A81" s="349"/>
      <c r="B81" s="350"/>
      <c r="C81" s="361">
        <v>6</v>
      </c>
      <c r="D81" s="1202" t="s">
        <v>371</v>
      </c>
      <c r="E81" s="1203"/>
      <c r="F81" s="1203"/>
      <c r="G81" s="1204"/>
      <c r="H81" s="359"/>
      <c r="I81" s="330"/>
      <c r="J81" s="291">
        <f t="shared" si="10"/>
        <v>0</v>
      </c>
      <c r="K81" s="322"/>
      <c r="L81" s="322"/>
      <c r="M81" s="322"/>
    </row>
    <row r="82" spans="1:13" ht="48.75" customHeight="1" x14ac:dyDescent="0.4">
      <c r="A82" s="349"/>
      <c r="B82" s="350"/>
      <c r="C82" s="361">
        <v>7</v>
      </c>
      <c r="D82" s="1202" t="s">
        <v>372</v>
      </c>
      <c r="E82" s="1203"/>
      <c r="F82" s="1203"/>
      <c r="G82" s="1204"/>
      <c r="H82" s="359"/>
      <c r="I82" s="330"/>
      <c r="J82" s="291">
        <f t="shared" si="10"/>
        <v>0</v>
      </c>
      <c r="K82" s="322"/>
      <c r="L82" s="322"/>
      <c r="M82" s="322"/>
    </row>
    <row r="83" spans="1:13" ht="51" customHeight="1" x14ac:dyDescent="0.4">
      <c r="A83" s="349"/>
      <c r="B83" s="348"/>
      <c r="C83" s="361">
        <v>8</v>
      </c>
      <c r="D83" s="1214" t="s">
        <v>373</v>
      </c>
      <c r="E83" s="1215"/>
      <c r="F83" s="1215"/>
      <c r="G83" s="1216"/>
      <c r="H83" s="359"/>
      <c r="I83" s="330"/>
      <c r="J83" s="291">
        <f t="shared" si="10"/>
        <v>0</v>
      </c>
      <c r="K83" s="322"/>
      <c r="L83" s="322"/>
      <c r="M83" s="322"/>
    </row>
    <row r="84" spans="1:13" ht="33" customHeight="1" x14ac:dyDescent="0.4">
      <c r="A84" s="349"/>
      <c r="B84" s="333" t="s">
        <v>124</v>
      </c>
      <c r="C84" s="1202" t="s">
        <v>374</v>
      </c>
      <c r="D84" s="1203"/>
      <c r="E84" s="1203"/>
      <c r="F84" s="1203"/>
      <c r="G84" s="1204"/>
      <c r="H84" s="359"/>
      <c r="I84" s="330"/>
      <c r="J84" s="321"/>
      <c r="K84" s="322"/>
      <c r="L84" s="322"/>
      <c r="M84" s="322"/>
    </row>
    <row r="85" spans="1:13" ht="20.2" customHeight="1" x14ac:dyDescent="0.4">
      <c r="A85" s="349"/>
      <c r="B85" s="350"/>
      <c r="C85" s="342">
        <v>1</v>
      </c>
      <c r="D85" s="1205" t="s">
        <v>375</v>
      </c>
      <c r="E85" s="1206"/>
      <c r="F85" s="1206"/>
      <c r="G85" s="1207"/>
      <c r="H85" s="359"/>
      <c r="I85" s="330"/>
      <c r="J85" s="291">
        <f t="shared" ref="J85:J86" si="11">H85+I85</f>
        <v>0</v>
      </c>
      <c r="K85" s="322"/>
      <c r="L85" s="322"/>
      <c r="M85" s="322"/>
    </row>
    <row r="86" spans="1:13" ht="20.2" customHeight="1" x14ac:dyDescent="0.4">
      <c r="A86" s="364"/>
      <c r="B86" s="348"/>
      <c r="C86" s="342">
        <v>2</v>
      </c>
      <c r="D86" s="1205" t="s">
        <v>376</v>
      </c>
      <c r="E86" s="1206"/>
      <c r="F86" s="1206"/>
      <c r="G86" s="1207"/>
      <c r="H86" s="359"/>
      <c r="I86" s="330"/>
      <c r="J86" s="291">
        <f t="shared" si="11"/>
        <v>0</v>
      </c>
      <c r="K86" s="322"/>
      <c r="L86" s="322"/>
      <c r="M86" s="322"/>
    </row>
    <row r="87" spans="1:13" ht="31.5" customHeight="1" x14ac:dyDescent="0.4">
      <c r="A87" s="364"/>
      <c r="B87" s="333" t="s">
        <v>126</v>
      </c>
      <c r="C87" s="1220" t="s">
        <v>377</v>
      </c>
      <c r="D87" s="1221"/>
      <c r="E87" s="1221"/>
      <c r="F87" s="1221"/>
      <c r="G87" s="1222"/>
      <c r="H87" s="365"/>
      <c r="I87" s="366"/>
      <c r="J87" s="317"/>
      <c r="K87" s="367"/>
      <c r="L87" s="367"/>
      <c r="M87" s="367"/>
    </row>
    <row r="88" spans="1:13" ht="21" customHeight="1" x14ac:dyDescent="0.4">
      <c r="A88" s="364"/>
      <c r="B88" s="348"/>
      <c r="C88" s="342">
        <v>1</v>
      </c>
      <c r="D88" s="1205" t="s">
        <v>378</v>
      </c>
      <c r="E88" s="1206"/>
      <c r="F88" s="1206"/>
      <c r="G88" s="1207"/>
      <c r="H88" s="368"/>
      <c r="I88" s="330"/>
      <c r="J88" s="291">
        <f t="shared" ref="J88" si="12">H88+I88</f>
        <v>0</v>
      </c>
      <c r="K88" s="322"/>
      <c r="L88" s="322"/>
      <c r="M88" s="322"/>
    </row>
    <row r="89" spans="1:13" ht="21" customHeight="1" x14ac:dyDescent="0.4">
      <c r="A89" s="1193" t="s">
        <v>42</v>
      </c>
      <c r="B89" s="1196" t="s">
        <v>332</v>
      </c>
      <c r="C89" s="1196"/>
      <c r="D89" s="1196"/>
      <c r="E89" s="1196"/>
      <c r="F89" s="1196"/>
      <c r="G89" s="1196"/>
      <c r="H89" s="1196"/>
      <c r="I89" s="1196"/>
      <c r="J89" s="1196"/>
      <c r="K89" s="1196"/>
      <c r="L89" s="1196"/>
      <c r="M89" s="1196"/>
    </row>
    <row r="90" spans="1:13" ht="21" customHeight="1" x14ac:dyDescent="0.4">
      <c r="A90" s="1194"/>
      <c r="B90" s="1194" t="s">
        <v>333</v>
      </c>
      <c r="C90" s="1194"/>
      <c r="D90" s="1194"/>
      <c r="E90" s="1194"/>
      <c r="F90" s="1194"/>
      <c r="G90" s="1194"/>
      <c r="H90" s="1197" t="s">
        <v>11</v>
      </c>
      <c r="I90" s="1197"/>
      <c r="J90" s="1197"/>
      <c r="K90" s="1197"/>
      <c r="L90" s="1197"/>
      <c r="M90" s="1197"/>
    </row>
    <row r="91" spans="1:13" ht="21" customHeight="1" x14ac:dyDescent="0.4">
      <c r="A91" s="1194"/>
      <c r="B91" s="1194"/>
      <c r="C91" s="1194"/>
      <c r="D91" s="1194"/>
      <c r="E91" s="1194"/>
      <c r="F91" s="1194"/>
      <c r="G91" s="1194"/>
      <c r="H91" s="1197" t="s">
        <v>334</v>
      </c>
      <c r="I91" s="1197"/>
      <c r="J91" s="1197"/>
      <c r="K91" s="1197" t="s">
        <v>12</v>
      </c>
      <c r="L91" s="1197"/>
      <c r="M91" s="1197"/>
    </row>
    <row r="92" spans="1:13" ht="21" customHeight="1" x14ac:dyDescent="0.4">
      <c r="A92" s="1195"/>
      <c r="B92" s="1195"/>
      <c r="C92" s="1195"/>
      <c r="D92" s="1195"/>
      <c r="E92" s="1195"/>
      <c r="F92" s="1195"/>
      <c r="G92" s="1195"/>
      <c r="H92" s="291" t="s">
        <v>14</v>
      </c>
      <c r="I92" s="291" t="s">
        <v>13</v>
      </c>
      <c r="J92" s="291" t="s">
        <v>16</v>
      </c>
      <c r="K92" s="291" t="s">
        <v>14</v>
      </c>
      <c r="L92" s="291" t="s">
        <v>13</v>
      </c>
      <c r="M92" s="291" t="s">
        <v>16</v>
      </c>
    </row>
    <row r="93" spans="1:13" ht="21" customHeight="1" x14ac:dyDescent="0.4">
      <c r="A93" s="310">
        <v>1</v>
      </c>
      <c r="B93" s="1190">
        <v>2</v>
      </c>
      <c r="C93" s="1191"/>
      <c r="D93" s="1191"/>
      <c r="E93" s="1191"/>
      <c r="F93" s="1191"/>
      <c r="G93" s="1192"/>
      <c r="H93" s="291">
        <v>3</v>
      </c>
      <c r="I93" s="291">
        <v>4</v>
      </c>
      <c r="J93" s="291">
        <v>5</v>
      </c>
      <c r="K93" s="291">
        <v>6</v>
      </c>
      <c r="L93" s="291">
        <v>7</v>
      </c>
      <c r="M93" s="291">
        <v>8</v>
      </c>
    </row>
    <row r="94" spans="1:13" ht="21" customHeight="1" x14ac:dyDescent="0.4">
      <c r="A94" s="364"/>
      <c r="B94" s="348"/>
      <c r="C94" s="342">
        <v>2</v>
      </c>
      <c r="D94" s="1205" t="s">
        <v>379</v>
      </c>
      <c r="E94" s="1206"/>
      <c r="F94" s="1206"/>
      <c r="G94" s="1207"/>
      <c r="H94" s="368"/>
      <c r="I94" s="330"/>
      <c r="J94" s="291">
        <f t="shared" ref="J94" si="13">H94+I94</f>
        <v>0</v>
      </c>
      <c r="K94" s="322"/>
      <c r="L94" s="322"/>
      <c r="M94" s="322"/>
    </row>
    <row r="95" spans="1:13" ht="31.5" customHeight="1" x14ac:dyDescent="0.4">
      <c r="A95" s="364"/>
      <c r="B95" s="369" t="s">
        <v>129</v>
      </c>
      <c r="C95" s="1202" t="s">
        <v>130</v>
      </c>
      <c r="D95" s="1203"/>
      <c r="E95" s="1203"/>
      <c r="F95" s="1203"/>
      <c r="G95" s="1204"/>
      <c r="H95" s="370"/>
      <c r="I95" s="371"/>
      <c r="J95" s="372"/>
      <c r="K95" s="373"/>
      <c r="L95" s="373"/>
      <c r="M95" s="373"/>
    </row>
    <row r="96" spans="1:13" ht="21" customHeight="1" x14ac:dyDescent="0.4">
      <c r="A96" s="364"/>
      <c r="B96" s="374"/>
      <c r="C96" s="375" t="s">
        <v>312</v>
      </c>
      <c r="D96" s="1226" t="s">
        <v>380</v>
      </c>
      <c r="E96" s="1227"/>
      <c r="F96" s="1227"/>
      <c r="G96" s="1228"/>
      <c r="H96" s="370"/>
      <c r="I96" s="371"/>
      <c r="J96" s="291">
        <f t="shared" ref="J96:J102" si="14">H96+I96</f>
        <v>0</v>
      </c>
      <c r="K96" s="373"/>
      <c r="L96" s="373"/>
      <c r="M96" s="373"/>
    </row>
    <row r="97" spans="1:13" ht="20.2" customHeight="1" x14ac:dyDescent="0.4">
      <c r="A97" s="364"/>
      <c r="B97" s="376"/>
      <c r="C97" s="375" t="s">
        <v>314</v>
      </c>
      <c r="D97" s="1226" t="s">
        <v>381</v>
      </c>
      <c r="E97" s="1227"/>
      <c r="F97" s="1227"/>
      <c r="G97" s="1228"/>
      <c r="H97" s="370"/>
      <c r="I97" s="371"/>
      <c r="J97" s="291">
        <f t="shared" si="14"/>
        <v>0</v>
      </c>
      <c r="K97" s="373"/>
      <c r="L97" s="373"/>
      <c r="M97" s="373"/>
    </row>
    <row r="98" spans="1:13" ht="20.2" customHeight="1" x14ac:dyDescent="0.4">
      <c r="A98" s="349"/>
      <c r="B98" s="318"/>
      <c r="C98" s="375" t="s">
        <v>316</v>
      </c>
      <c r="D98" s="1226" t="s">
        <v>382</v>
      </c>
      <c r="E98" s="1227"/>
      <c r="F98" s="1227"/>
      <c r="G98" s="1228"/>
      <c r="H98" s="359"/>
      <c r="I98" s="330"/>
      <c r="J98" s="291">
        <f t="shared" si="14"/>
        <v>0</v>
      </c>
      <c r="K98" s="322"/>
      <c r="L98" s="322"/>
      <c r="M98" s="322"/>
    </row>
    <row r="99" spans="1:13" ht="20.2" customHeight="1" x14ac:dyDescent="0.4">
      <c r="A99" s="349"/>
      <c r="B99" s="374"/>
      <c r="C99" s="377" t="s">
        <v>318</v>
      </c>
      <c r="D99" s="1226" t="s">
        <v>383</v>
      </c>
      <c r="E99" s="1227"/>
      <c r="F99" s="1227"/>
      <c r="G99" s="1228"/>
      <c r="H99" s="359"/>
      <c r="I99" s="330"/>
      <c r="J99" s="291">
        <f t="shared" si="14"/>
        <v>0</v>
      </c>
      <c r="K99" s="322"/>
      <c r="L99" s="322"/>
      <c r="M99" s="322"/>
    </row>
    <row r="100" spans="1:13" ht="20.2" customHeight="1" x14ac:dyDescent="0.4">
      <c r="A100" s="349"/>
      <c r="B100" s="374"/>
      <c r="C100" s="377" t="s">
        <v>320</v>
      </c>
      <c r="D100" s="1226" t="s">
        <v>384</v>
      </c>
      <c r="E100" s="1227"/>
      <c r="F100" s="1227"/>
      <c r="G100" s="1228"/>
      <c r="H100" s="359"/>
      <c r="I100" s="330"/>
      <c r="J100" s="291">
        <f t="shared" si="14"/>
        <v>0</v>
      </c>
      <c r="K100" s="322"/>
      <c r="L100" s="322"/>
      <c r="M100" s="322"/>
    </row>
    <row r="101" spans="1:13" ht="20.2" customHeight="1" x14ac:dyDescent="0.4">
      <c r="A101" s="364"/>
      <c r="B101" s="318"/>
      <c r="C101" s="377" t="s">
        <v>322</v>
      </c>
      <c r="D101" s="1226" t="s">
        <v>385</v>
      </c>
      <c r="E101" s="1227"/>
      <c r="F101" s="1227"/>
      <c r="G101" s="1228"/>
      <c r="H101" s="359"/>
      <c r="I101" s="330"/>
      <c r="J101" s="291">
        <f t="shared" si="14"/>
        <v>0</v>
      </c>
      <c r="K101" s="322"/>
      <c r="L101" s="322"/>
      <c r="M101" s="322"/>
    </row>
    <row r="102" spans="1:13" ht="20.2" customHeight="1" x14ac:dyDescent="0.4">
      <c r="A102" s="349"/>
      <c r="B102" s="378"/>
      <c r="C102" s="377" t="s">
        <v>324</v>
      </c>
      <c r="D102" s="1226" t="s">
        <v>386</v>
      </c>
      <c r="E102" s="1227"/>
      <c r="F102" s="1227"/>
      <c r="G102" s="1228"/>
      <c r="H102" s="359"/>
      <c r="I102" s="330"/>
      <c r="J102" s="291">
        <f t="shared" si="14"/>
        <v>0</v>
      </c>
      <c r="K102" s="322"/>
      <c r="L102" s="322"/>
      <c r="M102" s="322"/>
    </row>
    <row r="103" spans="1:13" ht="20.2" customHeight="1" x14ac:dyDescent="0.4">
      <c r="A103" s="379" t="s">
        <v>32</v>
      </c>
      <c r="B103" s="1211" t="s">
        <v>387</v>
      </c>
      <c r="C103" s="1212"/>
      <c r="D103" s="1212"/>
      <c r="E103" s="1212"/>
      <c r="F103" s="1212"/>
      <c r="G103" s="1213"/>
      <c r="H103" s="359"/>
      <c r="I103" s="330"/>
      <c r="J103" s="321"/>
      <c r="K103" s="322"/>
      <c r="L103" s="322"/>
      <c r="M103" s="322"/>
    </row>
    <row r="104" spans="1:13" ht="20.2" customHeight="1" x14ac:dyDescent="0.4">
      <c r="A104" s="349"/>
      <c r="B104" s="380" t="s">
        <v>15</v>
      </c>
      <c r="C104" s="1205" t="s">
        <v>388</v>
      </c>
      <c r="D104" s="1206"/>
      <c r="E104" s="1206"/>
      <c r="F104" s="1206"/>
      <c r="G104" s="1207"/>
      <c r="H104" s="381"/>
      <c r="I104" s="330"/>
      <c r="J104" s="321"/>
      <c r="K104" s="322"/>
      <c r="L104" s="322"/>
      <c r="M104" s="322"/>
    </row>
    <row r="105" spans="1:13" ht="21" customHeight="1" x14ac:dyDescent="0.4">
      <c r="A105" s="349"/>
      <c r="B105" s="382"/>
      <c r="C105" s="383">
        <v>1</v>
      </c>
      <c r="D105" s="1202" t="s">
        <v>389</v>
      </c>
      <c r="E105" s="1203"/>
      <c r="F105" s="1203"/>
      <c r="G105" s="1204"/>
      <c r="H105" s="381"/>
      <c r="I105" s="330"/>
      <c r="J105" s="291"/>
      <c r="K105" s="322"/>
      <c r="L105" s="322"/>
      <c r="M105" s="322"/>
    </row>
    <row r="106" spans="1:13" ht="21" customHeight="1" x14ac:dyDescent="0.4">
      <c r="A106" s="349"/>
      <c r="B106" s="382"/>
      <c r="C106" s="351"/>
      <c r="D106" s="380" t="s">
        <v>348</v>
      </c>
      <c r="E106" s="1188" t="s">
        <v>390</v>
      </c>
      <c r="F106" s="1188"/>
      <c r="G106" s="1188"/>
      <c r="H106" s="384"/>
      <c r="I106" s="330"/>
      <c r="J106" s="321"/>
      <c r="K106" s="322"/>
      <c r="L106" s="322"/>
      <c r="M106" s="322"/>
    </row>
    <row r="107" spans="1:13" ht="21" customHeight="1" x14ac:dyDescent="0.4">
      <c r="A107" s="349"/>
      <c r="B107" s="350"/>
      <c r="C107" s="351"/>
      <c r="D107" s="382"/>
      <c r="E107" s="385" t="s">
        <v>391</v>
      </c>
      <c r="F107" s="1184" t="s">
        <v>392</v>
      </c>
      <c r="G107" s="1184"/>
      <c r="H107" s="384"/>
      <c r="I107" s="330"/>
      <c r="J107" s="291">
        <f t="shared" ref="J107:J112" si="15">H107+I107</f>
        <v>0</v>
      </c>
      <c r="K107" s="322"/>
      <c r="L107" s="322"/>
      <c r="M107" s="322"/>
    </row>
    <row r="108" spans="1:13" ht="21" customHeight="1" x14ac:dyDescent="0.4">
      <c r="A108" s="349"/>
      <c r="B108" s="350"/>
      <c r="C108" s="351"/>
      <c r="D108" s="386"/>
      <c r="E108" s="385" t="s">
        <v>393</v>
      </c>
      <c r="F108" s="1184" t="s">
        <v>394</v>
      </c>
      <c r="G108" s="1184"/>
      <c r="H108" s="384"/>
      <c r="I108" s="330"/>
      <c r="J108" s="291">
        <f t="shared" si="15"/>
        <v>0</v>
      </c>
      <c r="K108" s="322"/>
      <c r="L108" s="322"/>
      <c r="M108" s="322"/>
    </row>
    <row r="109" spans="1:13" ht="21" customHeight="1" x14ac:dyDescent="0.4">
      <c r="A109" s="349"/>
      <c r="B109" s="350"/>
      <c r="C109" s="351"/>
      <c r="D109" s="380" t="s">
        <v>395</v>
      </c>
      <c r="E109" s="1184" t="s">
        <v>396</v>
      </c>
      <c r="F109" s="1184"/>
      <c r="G109" s="1184"/>
      <c r="H109" s="384"/>
      <c r="I109" s="330"/>
      <c r="J109" s="321"/>
      <c r="K109" s="322"/>
      <c r="L109" s="322"/>
      <c r="M109" s="322"/>
    </row>
    <row r="110" spans="1:13" ht="21" customHeight="1" x14ac:dyDescent="0.4">
      <c r="A110" s="349"/>
      <c r="B110" s="350"/>
      <c r="C110" s="387"/>
      <c r="D110" s="350"/>
      <c r="E110" s="385" t="s">
        <v>391</v>
      </c>
      <c r="F110" s="1184" t="s">
        <v>397</v>
      </c>
      <c r="G110" s="1184"/>
      <c r="H110" s="384"/>
      <c r="I110" s="330"/>
      <c r="J110" s="291">
        <f t="shared" si="15"/>
        <v>0</v>
      </c>
      <c r="K110" s="322"/>
      <c r="L110" s="322"/>
      <c r="M110" s="322"/>
    </row>
    <row r="111" spans="1:13" ht="21" customHeight="1" x14ac:dyDescent="0.4">
      <c r="A111" s="349"/>
      <c r="B111" s="350"/>
      <c r="C111" s="387"/>
      <c r="D111" s="350"/>
      <c r="E111" s="385" t="s">
        <v>393</v>
      </c>
      <c r="F111" s="1184" t="s">
        <v>398</v>
      </c>
      <c r="G111" s="1184"/>
      <c r="H111" s="384"/>
      <c r="I111" s="330"/>
      <c r="J111" s="291">
        <f t="shared" si="15"/>
        <v>0</v>
      </c>
      <c r="K111" s="322"/>
      <c r="L111" s="322"/>
      <c r="M111" s="322"/>
    </row>
    <row r="112" spans="1:13" ht="21" customHeight="1" x14ac:dyDescent="0.4">
      <c r="A112" s="349"/>
      <c r="B112" s="350"/>
      <c r="C112" s="387"/>
      <c r="D112" s="348"/>
      <c r="E112" s="385" t="s">
        <v>399</v>
      </c>
      <c r="F112" s="1184" t="s">
        <v>400</v>
      </c>
      <c r="G112" s="1184"/>
      <c r="H112" s="384"/>
      <c r="I112" s="330"/>
      <c r="J112" s="291">
        <f t="shared" si="15"/>
        <v>0</v>
      </c>
      <c r="K112" s="322"/>
      <c r="L112" s="322"/>
      <c r="M112" s="322"/>
    </row>
    <row r="113" spans="1:13" ht="21" customHeight="1" x14ac:dyDescent="0.4">
      <c r="A113" s="352"/>
      <c r="B113" s="350"/>
      <c r="C113" s="387"/>
      <c r="D113" s="380" t="s">
        <v>352</v>
      </c>
      <c r="E113" s="1184" t="s">
        <v>401</v>
      </c>
      <c r="F113" s="1184"/>
      <c r="G113" s="1184"/>
      <c r="H113" s="384"/>
      <c r="I113" s="355"/>
      <c r="J113" s="355"/>
      <c r="K113" s="355"/>
      <c r="L113" s="355"/>
      <c r="M113" s="355"/>
    </row>
    <row r="114" spans="1:13" ht="21" customHeight="1" x14ac:dyDescent="0.4">
      <c r="A114" s="352"/>
      <c r="B114" s="350"/>
      <c r="C114" s="387"/>
      <c r="D114" s="350"/>
      <c r="E114" s="380" t="s">
        <v>391</v>
      </c>
      <c r="F114" s="1184" t="s">
        <v>402</v>
      </c>
      <c r="G114" s="1184"/>
      <c r="H114" s="384"/>
      <c r="I114" s="357"/>
      <c r="J114" s="357"/>
      <c r="K114" s="357"/>
      <c r="L114" s="357"/>
      <c r="M114" s="357"/>
    </row>
    <row r="115" spans="1:13" ht="21" customHeight="1" x14ac:dyDescent="0.4">
      <c r="A115" s="352"/>
      <c r="B115" s="350"/>
      <c r="C115" s="387"/>
      <c r="D115" s="350"/>
      <c r="E115" s="350"/>
      <c r="F115" s="388" t="s">
        <v>403</v>
      </c>
      <c r="G115" s="322"/>
      <c r="H115" s="381"/>
      <c r="I115" s="357"/>
      <c r="J115" s="291">
        <f t="shared" ref="J115:J116" si="16">H115+I115</f>
        <v>0</v>
      </c>
      <c r="K115" s="357"/>
      <c r="L115" s="357"/>
      <c r="M115" s="357"/>
    </row>
    <row r="116" spans="1:13" ht="21" customHeight="1" x14ac:dyDescent="0.4">
      <c r="A116" s="352"/>
      <c r="B116" s="350"/>
      <c r="C116" s="387"/>
      <c r="D116" s="350"/>
      <c r="E116" s="348"/>
      <c r="F116" s="388" t="s">
        <v>404</v>
      </c>
      <c r="G116" s="322"/>
      <c r="H116" s="381"/>
      <c r="I116" s="291"/>
      <c r="J116" s="291">
        <f t="shared" si="16"/>
        <v>0</v>
      </c>
      <c r="K116" s="291"/>
      <c r="L116" s="291"/>
      <c r="M116" s="291"/>
    </row>
    <row r="117" spans="1:13" s="290" customFormat="1" ht="21" customHeight="1" x14ac:dyDescent="0.45">
      <c r="A117" s="316"/>
      <c r="B117" s="350"/>
      <c r="C117" s="387"/>
      <c r="D117" s="350"/>
      <c r="E117" s="380" t="s">
        <v>393</v>
      </c>
      <c r="F117" s="1184" t="s">
        <v>405</v>
      </c>
      <c r="G117" s="1184"/>
      <c r="H117" s="384"/>
      <c r="I117" s="291"/>
      <c r="J117" s="291"/>
      <c r="K117" s="291"/>
      <c r="L117" s="291"/>
      <c r="M117" s="291"/>
    </row>
    <row r="118" spans="1:13" ht="21" customHeight="1" x14ac:dyDescent="0.4">
      <c r="A118" s="349"/>
      <c r="B118" s="350"/>
      <c r="C118" s="387"/>
      <c r="D118" s="350"/>
      <c r="E118" s="350"/>
      <c r="F118" s="388" t="s">
        <v>403</v>
      </c>
      <c r="G118" s="322"/>
      <c r="H118" s="381"/>
      <c r="I118" s="330"/>
      <c r="J118" s="291">
        <f t="shared" ref="J118:J119" si="17">H118+I118</f>
        <v>0</v>
      </c>
      <c r="K118" s="322"/>
      <c r="L118" s="322"/>
      <c r="M118" s="322"/>
    </row>
    <row r="119" spans="1:13" ht="21" customHeight="1" x14ac:dyDescent="0.4">
      <c r="A119" s="349"/>
      <c r="B119" s="350"/>
      <c r="C119" s="387"/>
      <c r="D119" s="348"/>
      <c r="E119" s="348"/>
      <c r="F119" s="388" t="s">
        <v>404</v>
      </c>
      <c r="G119" s="322"/>
      <c r="H119" s="381"/>
      <c r="I119" s="330"/>
      <c r="J119" s="291">
        <f t="shared" si="17"/>
        <v>0</v>
      </c>
      <c r="K119" s="322"/>
      <c r="L119" s="322"/>
      <c r="M119" s="322"/>
    </row>
    <row r="120" spans="1:13" ht="21" customHeight="1" x14ac:dyDescent="0.4">
      <c r="A120" s="349"/>
      <c r="B120" s="350"/>
      <c r="C120" s="389"/>
      <c r="D120" s="385" t="s">
        <v>406</v>
      </c>
      <c r="E120" s="1184" t="s">
        <v>407</v>
      </c>
      <c r="F120" s="1184"/>
      <c r="G120" s="1184"/>
      <c r="H120" s="384"/>
      <c r="I120" s="330"/>
      <c r="J120" s="321"/>
      <c r="K120" s="322"/>
      <c r="L120" s="322"/>
      <c r="M120" s="322"/>
    </row>
    <row r="121" spans="1:13" ht="51.75" customHeight="1" x14ac:dyDescent="0.4">
      <c r="A121" s="349"/>
      <c r="B121" s="348"/>
      <c r="C121" s="390">
        <v>2</v>
      </c>
      <c r="D121" s="1189" t="s">
        <v>408</v>
      </c>
      <c r="E121" s="1189"/>
      <c r="F121" s="1189"/>
      <c r="G121" s="1189"/>
      <c r="H121" s="384"/>
      <c r="I121" s="330"/>
      <c r="J121" s="321"/>
      <c r="K121" s="322"/>
      <c r="L121" s="322"/>
      <c r="M121" s="322"/>
    </row>
    <row r="122" spans="1:13" ht="19.5" customHeight="1" x14ac:dyDescent="0.4">
      <c r="A122" s="349"/>
      <c r="B122" s="343" t="s">
        <v>17</v>
      </c>
      <c r="C122" s="1205" t="s">
        <v>409</v>
      </c>
      <c r="D122" s="1206"/>
      <c r="E122" s="1206"/>
      <c r="F122" s="1206"/>
      <c r="G122" s="1207"/>
      <c r="H122" s="381"/>
      <c r="I122" s="330"/>
      <c r="J122" s="321"/>
      <c r="K122" s="322"/>
      <c r="L122" s="322"/>
      <c r="M122" s="322"/>
    </row>
    <row r="123" spans="1:13" ht="20.2" customHeight="1" x14ac:dyDescent="0.4">
      <c r="A123" s="349"/>
      <c r="B123" s="348"/>
      <c r="C123" s="344"/>
      <c r="D123" s="1198" t="s">
        <v>410</v>
      </c>
      <c r="E123" s="1199"/>
      <c r="F123" s="1199"/>
      <c r="G123" s="1200"/>
      <c r="H123" s="381"/>
      <c r="I123" s="330"/>
      <c r="J123" s="291">
        <f t="shared" ref="J123" si="18">H123+I123</f>
        <v>0</v>
      </c>
      <c r="K123" s="322"/>
      <c r="L123" s="322"/>
      <c r="M123" s="322"/>
    </row>
    <row r="124" spans="1:13" ht="20.2" customHeight="1" x14ac:dyDescent="0.4">
      <c r="A124" s="349"/>
      <c r="B124" s="343" t="s">
        <v>118</v>
      </c>
      <c r="C124" s="1205" t="s">
        <v>24</v>
      </c>
      <c r="D124" s="1206"/>
      <c r="E124" s="1206"/>
      <c r="F124" s="1206"/>
      <c r="G124" s="1207"/>
      <c r="H124" s="381"/>
      <c r="I124" s="330"/>
      <c r="J124" s="321"/>
      <c r="K124" s="322"/>
      <c r="L124" s="322"/>
      <c r="M124" s="322"/>
    </row>
    <row r="125" spans="1:13" ht="20.2" customHeight="1" x14ac:dyDescent="0.4">
      <c r="A125" s="349"/>
      <c r="B125" s="348"/>
      <c r="C125" s="344"/>
      <c r="D125" s="1198" t="s">
        <v>410</v>
      </c>
      <c r="E125" s="1199"/>
      <c r="F125" s="1199"/>
      <c r="G125" s="1200"/>
      <c r="H125" s="381"/>
      <c r="I125" s="330"/>
      <c r="J125" s="291">
        <f t="shared" ref="J125" si="19">H125+I125</f>
        <v>0</v>
      </c>
      <c r="K125" s="322"/>
      <c r="L125" s="322"/>
      <c r="M125" s="322"/>
    </row>
    <row r="126" spans="1:13" ht="20.2" customHeight="1" x14ac:dyDescent="0.4">
      <c r="A126" s="349"/>
      <c r="B126" s="333" t="s">
        <v>119</v>
      </c>
      <c r="C126" s="1202" t="s">
        <v>411</v>
      </c>
      <c r="D126" s="1203"/>
      <c r="E126" s="1203"/>
      <c r="F126" s="1203"/>
      <c r="G126" s="1204"/>
      <c r="H126" s="384"/>
      <c r="I126" s="330"/>
      <c r="J126" s="321"/>
      <c r="K126" s="322"/>
      <c r="L126" s="322"/>
      <c r="M126" s="322"/>
    </row>
    <row r="127" spans="1:13" ht="21" customHeight="1" x14ac:dyDescent="0.4">
      <c r="A127" s="349"/>
      <c r="B127" s="350"/>
      <c r="C127" s="385">
        <v>1</v>
      </c>
      <c r="D127" s="1205" t="s">
        <v>397</v>
      </c>
      <c r="E127" s="1206"/>
      <c r="F127" s="1206"/>
      <c r="G127" s="1207"/>
      <c r="H127" s="384"/>
      <c r="I127" s="330"/>
      <c r="J127" s="291">
        <f t="shared" ref="J127:J128" si="20">H127+I127</f>
        <v>0</v>
      </c>
      <c r="K127" s="322"/>
      <c r="L127" s="322"/>
      <c r="M127" s="322"/>
    </row>
    <row r="128" spans="1:13" ht="21" customHeight="1" x14ac:dyDescent="0.4">
      <c r="A128" s="349"/>
      <c r="B128" s="348"/>
      <c r="C128" s="391">
        <v>2</v>
      </c>
      <c r="D128" s="1205" t="s">
        <v>412</v>
      </c>
      <c r="E128" s="1206"/>
      <c r="F128" s="1206"/>
      <c r="G128" s="1207"/>
      <c r="H128" s="381"/>
      <c r="I128" s="330"/>
      <c r="J128" s="291">
        <f t="shared" si="20"/>
        <v>0</v>
      </c>
      <c r="K128" s="322"/>
      <c r="L128" s="322"/>
      <c r="M128" s="322"/>
    </row>
    <row r="129" spans="1:13" ht="36" customHeight="1" x14ac:dyDescent="0.4">
      <c r="A129" s="349"/>
      <c r="B129" s="333" t="s">
        <v>120</v>
      </c>
      <c r="C129" s="1202" t="s">
        <v>413</v>
      </c>
      <c r="D129" s="1203"/>
      <c r="E129" s="1203"/>
      <c r="F129" s="1203"/>
      <c r="G129" s="1204"/>
      <c r="H129" s="384"/>
      <c r="I129" s="330"/>
      <c r="J129" s="321"/>
      <c r="K129" s="322"/>
      <c r="L129" s="322"/>
      <c r="M129" s="322"/>
    </row>
    <row r="130" spans="1:13" ht="21" customHeight="1" x14ac:dyDescent="0.4">
      <c r="A130" s="349"/>
      <c r="B130" s="350"/>
      <c r="C130" s="385">
        <v>1</v>
      </c>
      <c r="D130" s="1205" t="s">
        <v>414</v>
      </c>
      <c r="E130" s="1206"/>
      <c r="F130" s="1206"/>
      <c r="G130" s="1207"/>
      <c r="H130" s="384"/>
      <c r="I130" s="330"/>
      <c r="J130" s="291">
        <f t="shared" ref="J130:J132" si="21">H130+I130</f>
        <v>0</v>
      </c>
      <c r="K130" s="322"/>
      <c r="L130" s="322"/>
      <c r="M130" s="322"/>
    </row>
    <row r="131" spans="1:13" ht="21" customHeight="1" x14ac:dyDescent="0.4">
      <c r="A131" s="349"/>
      <c r="B131" s="350"/>
      <c r="C131" s="385">
        <v>2</v>
      </c>
      <c r="D131" s="1205" t="s">
        <v>415</v>
      </c>
      <c r="E131" s="1206"/>
      <c r="F131" s="1206"/>
      <c r="G131" s="1207"/>
      <c r="H131" s="384"/>
      <c r="I131" s="330"/>
      <c r="J131" s="291">
        <f t="shared" si="21"/>
        <v>0</v>
      </c>
      <c r="K131" s="322"/>
      <c r="L131" s="322"/>
      <c r="M131" s="322"/>
    </row>
    <row r="132" spans="1:13" ht="21" customHeight="1" x14ac:dyDescent="0.4">
      <c r="A132" s="349"/>
      <c r="B132" s="348"/>
      <c r="C132" s="392">
        <v>3</v>
      </c>
      <c r="D132" s="1223" t="s">
        <v>416</v>
      </c>
      <c r="E132" s="1224"/>
      <c r="F132" s="1224"/>
      <c r="G132" s="1225"/>
      <c r="H132" s="381"/>
      <c r="I132" s="330"/>
      <c r="J132" s="291">
        <f t="shared" si="21"/>
        <v>0</v>
      </c>
      <c r="K132" s="322"/>
      <c r="L132" s="322"/>
      <c r="M132" s="322"/>
    </row>
    <row r="133" spans="1:13" ht="20.2" customHeight="1" x14ac:dyDescent="0.4">
      <c r="A133" s="379" t="s">
        <v>33</v>
      </c>
      <c r="B133" s="1211" t="s">
        <v>417</v>
      </c>
      <c r="C133" s="1212"/>
      <c r="D133" s="1212"/>
      <c r="E133" s="1212"/>
      <c r="F133" s="1212"/>
      <c r="G133" s="1213"/>
      <c r="H133" s="359"/>
      <c r="I133" s="330"/>
      <c r="J133" s="321"/>
      <c r="K133" s="322"/>
      <c r="L133" s="322"/>
      <c r="M133" s="322"/>
    </row>
    <row r="134" spans="1:13" ht="20.2" customHeight="1" x14ac:dyDescent="0.4">
      <c r="A134" s="349"/>
      <c r="B134" s="343" t="s">
        <v>15</v>
      </c>
      <c r="C134" s="1205" t="s">
        <v>134</v>
      </c>
      <c r="D134" s="1206"/>
      <c r="E134" s="1206"/>
      <c r="F134" s="1206"/>
      <c r="G134" s="1207"/>
      <c r="H134" s="359"/>
      <c r="I134" s="330"/>
      <c r="J134" s="321"/>
      <c r="K134" s="322"/>
      <c r="L134" s="322"/>
      <c r="M134" s="322"/>
    </row>
    <row r="135" spans="1:13" ht="51" customHeight="1" x14ac:dyDescent="0.4">
      <c r="A135" s="349"/>
      <c r="B135" s="348"/>
      <c r="C135" s="360"/>
      <c r="D135" s="1217" t="s">
        <v>418</v>
      </c>
      <c r="E135" s="1218"/>
      <c r="F135" s="1218"/>
      <c r="G135" s="1219"/>
      <c r="H135" s="359"/>
      <c r="I135" s="330"/>
      <c r="J135" s="291">
        <f t="shared" ref="J135" si="22">H135+I135</f>
        <v>0</v>
      </c>
      <c r="K135" s="322"/>
      <c r="L135" s="322"/>
      <c r="M135" s="322"/>
    </row>
    <row r="136" spans="1:13" ht="31.5" customHeight="1" x14ac:dyDescent="0.4">
      <c r="A136" s="349"/>
      <c r="B136" s="333" t="s">
        <v>17</v>
      </c>
      <c r="C136" s="1220" t="s">
        <v>419</v>
      </c>
      <c r="D136" s="1221"/>
      <c r="E136" s="1221"/>
      <c r="F136" s="1221"/>
      <c r="G136" s="1222"/>
      <c r="H136" s="393"/>
      <c r="I136" s="366"/>
      <c r="J136" s="317"/>
      <c r="K136" s="367"/>
      <c r="L136" s="367"/>
      <c r="M136" s="367"/>
    </row>
    <row r="137" spans="1:13" ht="33" customHeight="1" x14ac:dyDescent="0.4">
      <c r="A137" s="349"/>
      <c r="B137" s="348"/>
      <c r="C137" s="360"/>
      <c r="D137" s="1202" t="s">
        <v>420</v>
      </c>
      <c r="E137" s="1203"/>
      <c r="F137" s="1203"/>
      <c r="G137" s="1204"/>
      <c r="H137" s="359"/>
      <c r="I137" s="330"/>
      <c r="J137" s="291">
        <f t="shared" ref="J137" si="23">H137+I137</f>
        <v>0</v>
      </c>
      <c r="K137" s="363"/>
      <c r="L137" s="322"/>
      <c r="M137" s="322"/>
    </row>
    <row r="138" spans="1:13" ht="33.75" customHeight="1" x14ac:dyDescent="0.4">
      <c r="A138" s="349"/>
      <c r="B138" s="333" t="s">
        <v>118</v>
      </c>
      <c r="C138" s="1202" t="s">
        <v>421</v>
      </c>
      <c r="D138" s="1203"/>
      <c r="E138" s="1203"/>
      <c r="F138" s="1203"/>
      <c r="G138" s="1204"/>
      <c r="H138" s="359"/>
      <c r="I138" s="330"/>
      <c r="J138" s="321"/>
      <c r="K138" s="322"/>
      <c r="L138" s="322"/>
      <c r="M138" s="322"/>
    </row>
    <row r="139" spans="1:13" ht="20.2" customHeight="1" x14ac:dyDescent="0.4">
      <c r="A139" s="349"/>
      <c r="B139" s="348"/>
      <c r="C139" s="392">
        <v>1</v>
      </c>
      <c r="D139" s="1205" t="s">
        <v>422</v>
      </c>
      <c r="E139" s="1206"/>
      <c r="F139" s="1206"/>
      <c r="G139" s="1207"/>
      <c r="H139" s="359"/>
      <c r="I139" s="330"/>
      <c r="J139" s="291">
        <f t="shared" ref="J139" si="24">H139+I139</f>
        <v>0</v>
      </c>
      <c r="K139" s="322"/>
      <c r="L139" s="322"/>
      <c r="M139" s="322"/>
    </row>
    <row r="140" spans="1:13" ht="20.2" customHeight="1" x14ac:dyDescent="0.4">
      <c r="A140" s="1193" t="s">
        <v>42</v>
      </c>
      <c r="B140" s="1196" t="s">
        <v>332</v>
      </c>
      <c r="C140" s="1196"/>
      <c r="D140" s="1196"/>
      <c r="E140" s="1196"/>
      <c r="F140" s="1196"/>
      <c r="G140" s="1196"/>
      <c r="H140" s="1196"/>
      <c r="I140" s="1196"/>
      <c r="J140" s="1196"/>
      <c r="K140" s="1196"/>
      <c r="L140" s="1196"/>
      <c r="M140" s="1196"/>
    </row>
    <row r="141" spans="1:13" ht="20.2" customHeight="1" x14ac:dyDescent="0.4">
      <c r="A141" s="1194"/>
      <c r="B141" s="1194" t="s">
        <v>333</v>
      </c>
      <c r="C141" s="1194"/>
      <c r="D141" s="1194"/>
      <c r="E141" s="1194"/>
      <c r="F141" s="1194"/>
      <c r="G141" s="1194"/>
      <c r="H141" s="1197" t="s">
        <v>11</v>
      </c>
      <c r="I141" s="1197"/>
      <c r="J141" s="1197"/>
      <c r="K141" s="1197"/>
      <c r="L141" s="1197"/>
      <c r="M141" s="1197"/>
    </row>
    <row r="142" spans="1:13" ht="20.2" customHeight="1" x14ac:dyDescent="0.4">
      <c r="A142" s="1194"/>
      <c r="B142" s="1194"/>
      <c r="C142" s="1194"/>
      <c r="D142" s="1194"/>
      <c r="E142" s="1194"/>
      <c r="F142" s="1194"/>
      <c r="G142" s="1194"/>
      <c r="H142" s="1197" t="s">
        <v>334</v>
      </c>
      <c r="I142" s="1197"/>
      <c r="J142" s="1197"/>
      <c r="K142" s="1197" t="s">
        <v>12</v>
      </c>
      <c r="L142" s="1197"/>
      <c r="M142" s="1197"/>
    </row>
    <row r="143" spans="1:13" ht="20.2" customHeight="1" x14ac:dyDescent="0.4">
      <c r="A143" s="1195"/>
      <c r="B143" s="1195"/>
      <c r="C143" s="1195"/>
      <c r="D143" s="1195"/>
      <c r="E143" s="1195"/>
      <c r="F143" s="1195"/>
      <c r="G143" s="1195"/>
      <c r="H143" s="291" t="s">
        <v>14</v>
      </c>
      <c r="I143" s="291" t="s">
        <v>13</v>
      </c>
      <c r="J143" s="291" t="s">
        <v>16</v>
      </c>
      <c r="K143" s="291" t="s">
        <v>14</v>
      </c>
      <c r="L143" s="291" t="s">
        <v>13</v>
      </c>
      <c r="M143" s="291" t="s">
        <v>16</v>
      </c>
    </row>
    <row r="144" spans="1:13" ht="20.2" customHeight="1" x14ac:dyDescent="0.4">
      <c r="A144" s="310">
        <v>1</v>
      </c>
      <c r="B144" s="1190">
        <v>2</v>
      </c>
      <c r="C144" s="1191"/>
      <c r="D144" s="1191"/>
      <c r="E144" s="1191"/>
      <c r="F144" s="1191"/>
      <c r="G144" s="1192"/>
      <c r="H144" s="291">
        <v>3</v>
      </c>
      <c r="I144" s="291">
        <v>4</v>
      </c>
      <c r="J144" s="291">
        <v>5</v>
      </c>
      <c r="K144" s="291">
        <v>6</v>
      </c>
      <c r="L144" s="291">
        <v>7</v>
      </c>
      <c r="M144" s="291">
        <v>8</v>
      </c>
    </row>
    <row r="145" spans="1:13" ht="20.2" customHeight="1" x14ac:dyDescent="0.4">
      <c r="A145" s="349"/>
      <c r="B145" s="350"/>
      <c r="C145" s="394"/>
      <c r="D145" s="343" t="s">
        <v>348</v>
      </c>
      <c r="E145" s="1188" t="s">
        <v>423</v>
      </c>
      <c r="F145" s="1188"/>
      <c r="G145" s="1188"/>
      <c r="H145" s="359"/>
      <c r="I145" s="330"/>
      <c r="J145" s="321"/>
      <c r="K145" s="322"/>
      <c r="L145" s="322"/>
      <c r="M145" s="322"/>
    </row>
    <row r="146" spans="1:13" ht="20.2" customHeight="1" x14ac:dyDescent="0.4">
      <c r="A146" s="349"/>
      <c r="B146" s="350"/>
      <c r="C146" s="394"/>
      <c r="D146" s="350"/>
      <c r="E146" s="385" t="s">
        <v>391</v>
      </c>
      <c r="F146" s="388" t="s">
        <v>414</v>
      </c>
      <c r="G146" s="322"/>
      <c r="H146" s="359"/>
      <c r="I146" s="330"/>
      <c r="J146" s="291">
        <f t="shared" ref="J146:J148" si="25">H146+I146</f>
        <v>0</v>
      </c>
      <c r="K146" s="322"/>
      <c r="L146" s="322"/>
      <c r="M146" s="322"/>
    </row>
    <row r="147" spans="1:13" ht="20.2" customHeight="1" x14ac:dyDescent="0.4">
      <c r="A147" s="349"/>
      <c r="B147" s="350"/>
      <c r="C147" s="394"/>
      <c r="D147" s="350"/>
      <c r="E147" s="385" t="s">
        <v>393</v>
      </c>
      <c r="F147" s="388" t="s">
        <v>415</v>
      </c>
      <c r="G147" s="322"/>
      <c r="H147" s="359"/>
      <c r="I147" s="330"/>
      <c r="J147" s="291">
        <f t="shared" si="25"/>
        <v>0</v>
      </c>
      <c r="K147" s="322"/>
      <c r="L147" s="322"/>
      <c r="M147" s="322"/>
    </row>
    <row r="148" spans="1:13" ht="20.2" customHeight="1" x14ac:dyDescent="0.4">
      <c r="A148" s="349"/>
      <c r="B148" s="350"/>
      <c r="C148" s="395"/>
      <c r="D148" s="348"/>
      <c r="E148" s="385" t="s">
        <v>399</v>
      </c>
      <c r="F148" s="388" t="s">
        <v>416</v>
      </c>
      <c r="G148" s="322"/>
      <c r="H148" s="359"/>
      <c r="I148" s="330"/>
      <c r="J148" s="291">
        <f t="shared" si="25"/>
        <v>0</v>
      </c>
      <c r="K148" s="322"/>
      <c r="L148" s="322"/>
      <c r="M148" s="322"/>
    </row>
    <row r="149" spans="1:13" ht="33" customHeight="1" x14ac:dyDescent="0.4">
      <c r="A149" s="349"/>
      <c r="B149" s="350"/>
      <c r="C149" s="395"/>
      <c r="D149" s="333" t="s">
        <v>395</v>
      </c>
      <c r="E149" s="1189" t="s">
        <v>424</v>
      </c>
      <c r="F149" s="1189"/>
      <c r="G149" s="1189"/>
      <c r="H149" s="359"/>
      <c r="I149" s="330"/>
      <c r="J149" s="321"/>
      <c r="K149" s="322"/>
      <c r="L149" s="322"/>
      <c r="M149" s="322"/>
    </row>
    <row r="150" spans="1:13" ht="20.2" customHeight="1" x14ac:dyDescent="0.4">
      <c r="A150" s="349"/>
      <c r="B150" s="350"/>
      <c r="C150" s="395"/>
      <c r="D150" s="350"/>
      <c r="E150" s="385" t="s">
        <v>391</v>
      </c>
      <c r="F150" s="388" t="s">
        <v>414</v>
      </c>
      <c r="G150" s="322"/>
      <c r="H150" s="359"/>
      <c r="I150" s="330"/>
      <c r="J150" s="291">
        <f t="shared" ref="J150:J152" si="26">H150+I150</f>
        <v>0</v>
      </c>
      <c r="K150" s="322"/>
      <c r="L150" s="322"/>
      <c r="M150" s="322"/>
    </row>
    <row r="151" spans="1:13" ht="20.2" customHeight="1" x14ac:dyDescent="0.4">
      <c r="A151" s="349"/>
      <c r="B151" s="350"/>
      <c r="C151" s="395"/>
      <c r="D151" s="350"/>
      <c r="E151" s="385" t="s">
        <v>393</v>
      </c>
      <c r="F151" s="388" t="s">
        <v>415</v>
      </c>
      <c r="G151" s="322"/>
      <c r="H151" s="359"/>
      <c r="I151" s="330"/>
      <c r="J151" s="291">
        <f t="shared" si="26"/>
        <v>0</v>
      </c>
      <c r="K151" s="322"/>
      <c r="L151" s="322"/>
      <c r="M151" s="322"/>
    </row>
    <row r="152" spans="1:13" ht="20.2" customHeight="1" x14ac:dyDescent="0.4">
      <c r="A152" s="349"/>
      <c r="B152" s="350"/>
      <c r="C152" s="396"/>
      <c r="D152" s="348"/>
      <c r="E152" s="385" t="s">
        <v>399</v>
      </c>
      <c r="F152" s="388" t="s">
        <v>416</v>
      </c>
      <c r="G152" s="322"/>
      <c r="H152" s="359"/>
      <c r="I152" s="330"/>
      <c r="J152" s="291">
        <f t="shared" si="26"/>
        <v>0</v>
      </c>
      <c r="K152" s="322"/>
      <c r="L152" s="322"/>
      <c r="M152" s="322"/>
    </row>
    <row r="153" spans="1:13" ht="20.2" customHeight="1" x14ac:dyDescent="0.4">
      <c r="A153" s="349"/>
      <c r="B153" s="348"/>
      <c r="C153" s="392">
        <v>2</v>
      </c>
      <c r="D153" s="1205" t="s">
        <v>425</v>
      </c>
      <c r="E153" s="1206"/>
      <c r="F153" s="1206"/>
      <c r="G153" s="1207"/>
      <c r="H153" s="359"/>
      <c r="I153" s="330"/>
      <c r="J153" s="321"/>
      <c r="K153" s="322"/>
      <c r="L153" s="322"/>
      <c r="M153" s="322"/>
    </row>
    <row r="154" spans="1:13" ht="49.5" customHeight="1" x14ac:dyDescent="0.4">
      <c r="A154" s="349"/>
      <c r="B154" s="333" t="s">
        <v>119</v>
      </c>
      <c r="C154" s="1214" t="s">
        <v>426</v>
      </c>
      <c r="D154" s="1215"/>
      <c r="E154" s="1215"/>
      <c r="F154" s="1215"/>
      <c r="G154" s="1216"/>
      <c r="H154" s="359"/>
      <c r="I154" s="330"/>
      <c r="J154" s="321"/>
      <c r="K154" s="322"/>
      <c r="L154" s="322"/>
      <c r="M154" s="322"/>
    </row>
    <row r="155" spans="1:13" ht="20.2" customHeight="1" x14ac:dyDescent="0.4">
      <c r="A155" s="349"/>
      <c r="B155" s="350"/>
      <c r="C155" s="392">
        <v>1</v>
      </c>
      <c r="D155" s="1205" t="s">
        <v>427</v>
      </c>
      <c r="E155" s="1206"/>
      <c r="F155" s="1206"/>
      <c r="G155" s="1207"/>
      <c r="H155" s="359"/>
      <c r="I155" s="330"/>
      <c r="J155" s="291">
        <f t="shared" ref="J155:J157" si="27">H155+I155</f>
        <v>0</v>
      </c>
      <c r="K155" s="322"/>
      <c r="L155" s="322"/>
      <c r="M155" s="322"/>
    </row>
    <row r="156" spans="1:13" ht="20.2" customHeight="1" x14ac:dyDescent="0.4">
      <c r="A156" s="349"/>
      <c r="B156" s="350"/>
      <c r="C156" s="385">
        <v>2</v>
      </c>
      <c r="D156" s="1205" t="s">
        <v>428</v>
      </c>
      <c r="E156" s="1206"/>
      <c r="F156" s="1206"/>
      <c r="G156" s="1207"/>
      <c r="H156" s="359"/>
      <c r="I156" s="330"/>
      <c r="J156" s="291">
        <f t="shared" si="27"/>
        <v>0</v>
      </c>
      <c r="K156" s="322"/>
      <c r="L156" s="322"/>
      <c r="M156" s="322"/>
    </row>
    <row r="157" spans="1:13" ht="20.2" customHeight="1" x14ac:dyDescent="0.4">
      <c r="A157" s="349"/>
      <c r="B157" s="386"/>
      <c r="C157" s="385">
        <v>3</v>
      </c>
      <c r="D157" s="1208" t="s">
        <v>429</v>
      </c>
      <c r="E157" s="1209"/>
      <c r="F157" s="1209"/>
      <c r="G157" s="1210"/>
      <c r="H157" s="359"/>
      <c r="I157" s="330"/>
      <c r="J157" s="291">
        <f t="shared" si="27"/>
        <v>0</v>
      </c>
      <c r="K157" s="322"/>
      <c r="L157" s="322"/>
      <c r="M157" s="322"/>
    </row>
    <row r="158" spans="1:13" ht="20.2" customHeight="1" x14ac:dyDescent="0.4">
      <c r="A158" s="349"/>
      <c r="B158" s="380" t="s">
        <v>120</v>
      </c>
      <c r="C158" s="1205" t="s">
        <v>430</v>
      </c>
      <c r="D158" s="1206"/>
      <c r="E158" s="1206"/>
      <c r="F158" s="1206"/>
      <c r="G158" s="1207"/>
      <c r="H158" s="368"/>
      <c r="I158" s="330"/>
      <c r="J158" s="321"/>
      <c r="K158" s="322"/>
      <c r="L158" s="322"/>
      <c r="M158" s="322"/>
    </row>
    <row r="159" spans="1:13" ht="36" customHeight="1" x14ac:dyDescent="0.4">
      <c r="A159" s="349"/>
      <c r="B159" s="386"/>
      <c r="C159" s="397"/>
      <c r="D159" s="1205" t="s">
        <v>26</v>
      </c>
      <c r="E159" s="1206"/>
      <c r="F159" s="1206"/>
      <c r="G159" s="1207"/>
      <c r="H159" s="368"/>
      <c r="I159" s="330"/>
      <c r="J159" s="291">
        <f t="shared" ref="J159" si="28">H159+I159</f>
        <v>0</v>
      </c>
      <c r="K159" s="322"/>
      <c r="L159" s="322"/>
      <c r="M159" s="322"/>
    </row>
    <row r="160" spans="1:13" ht="25.05" customHeight="1" x14ac:dyDescent="0.4">
      <c r="A160" s="398"/>
      <c r="B160" s="1185" t="s">
        <v>431</v>
      </c>
      <c r="C160" s="1186"/>
      <c r="D160" s="1186"/>
      <c r="E160" s="1186"/>
      <c r="F160" s="1186"/>
      <c r="G160" s="1187"/>
      <c r="H160" s="368"/>
      <c r="I160" s="330"/>
      <c r="J160" s="321"/>
      <c r="K160" s="322"/>
      <c r="L160" s="322"/>
      <c r="M160" s="322"/>
    </row>
    <row r="161" spans="1:13" ht="20.2" customHeight="1" x14ac:dyDescent="0.4">
      <c r="A161" s="399" t="s">
        <v>432</v>
      </c>
      <c r="B161" s="1211" t="s">
        <v>433</v>
      </c>
      <c r="C161" s="1212"/>
      <c r="D161" s="1212"/>
      <c r="E161" s="1212"/>
      <c r="F161" s="1212"/>
      <c r="G161" s="1213"/>
      <c r="H161" s="359"/>
      <c r="I161" s="330"/>
      <c r="J161" s="321"/>
      <c r="K161" s="322"/>
      <c r="L161" s="322"/>
      <c r="M161" s="322"/>
    </row>
    <row r="162" spans="1:13" ht="33.75" customHeight="1" x14ac:dyDescent="0.4">
      <c r="A162" s="349"/>
      <c r="B162" s="400" t="s">
        <v>15</v>
      </c>
      <c r="C162" s="1202" t="s">
        <v>434</v>
      </c>
      <c r="D162" s="1203"/>
      <c r="E162" s="1203"/>
      <c r="F162" s="1203"/>
      <c r="G162" s="1204"/>
      <c r="H162" s="359"/>
      <c r="I162" s="330"/>
      <c r="J162" s="321"/>
      <c r="K162" s="322"/>
      <c r="L162" s="322"/>
      <c r="M162" s="322"/>
    </row>
    <row r="163" spans="1:13" ht="20.2" customHeight="1" x14ac:dyDescent="0.4">
      <c r="A163" s="349"/>
      <c r="B163" s="382"/>
      <c r="C163" s="385">
        <v>1</v>
      </c>
      <c r="D163" s="1188" t="s">
        <v>435</v>
      </c>
      <c r="E163" s="1188"/>
      <c r="F163" s="1188"/>
      <c r="G163" s="1188"/>
      <c r="H163" s="359"/>
      <c r="I163" s="330"/>
      <c r="J163" s="291">
        <f t="shared" ref="J163:J164" si="29">H163+I163</f>
        <v>0</v>
      </c>
      <c r="K163" s="322"/>
      <c r="L163" s="322"/>
      <c r="M163" s="322"/>
    </row>
    <row r="164" spans="1:13" ht="20.2" customHeight="1" x14ac:dyDescent="0.4">
      <c r="A164" s="349"/>
      <c r="B164" s="386"/>
      <c r="C164" s="385">
        <v>2</v>
      </c>
      <c r="D164" s="1184" t="s">
        <v>436</v>
      </c>
      <c r="E164" s="1184"/>
      <c r="F164" s="1184"/>
      <c r="G164" s="1184"/>
      <c r="H164" s="359"/>
      <c r="I164" s="330"/>
      <c r="J164" s="291">
        <f t="shared" si="29"/>
        <v>0</v>
      </c>
      <c r="K164" s="322"/>
      <c r="L164" s="322"/>
      <c r="M164" s="322"/>
    </row>
    <row r="165" spans="1:13" ht="33" customHeight="1" x14ac:dyDescent="0.4">
      <c r="A165" s="349"/>
      <c r="B165" s="400" t="s">
        <v>17</v>
      </c>
      <c r="C165" s="1189" t="s">
        <v>437</v>
      </c>
      <c r="D165" s="1189"/>
      <c r="E165" s="1189"/>
      <c r="F165" s="1189"/>
      <c r="G165" s="1189"/>
      <c r="H165" s="359"/>
      <c r="I165" s="330"/>
      <c r="J165" s="321"/>
      <c r="K165" s="322"/>
      <c r="L165" s="322"/>
      <c r="M165" s="322"/>
    </row>
    <row r="166" spans="1:13" ht="20.2" customHeight="1" x14ac:dyDescent="0.4">
      <c r="A166" s="349"/>
      <c r="B166" s="382"/>
      <c r="C166" s="380">
        <v>1</v>
      </c>
      <c r="D166" s="1184" t="s">
        <v>438</v>
      </c>
      <c r="E166" s="1184"/>
      <c r="F166" s="1184"/>
      <c r="G166" s="1184"/>
      <c r="H166" s="359"/>
      <c r="I166" s="330"/>
      <c r="J166" s="321"/>
      <c r="K166" s="322"/>
      <c r="L166" s="322"/>
      <c r="M166" s="322"/>
    </row>
    <row r="167" spans="1:13" ht="20.2" customHeight="1" x14ac:dyDescent="0.4">
      <c r="A167" s="352"/>
      <c r="B167" s="382"/>
      <c r="C167" s="350"/>
      <c r="D167" s="342" t="s">
        <v>348</v>
      </c>
      <c r="E167" s="1184" t="s">
        <v>439</v>
      </c>
      <c r="F167" s="1184"/>
      <c r="G167" s="1184"/>
      <c r="H167" s="354"/>
      <c r="I167" s="355"/>
      <c r="J167" s="291">
        <f t="shared" ref="J167:J168" si="30">H167+I167</f>
        <v>0</v>
      </c>
      <c r="K167" s="355"/>
      <c r="L167" s="355"/>
      <c r="M167" s="355"/>
    </row>
    <row r="168" spans="1:13" ht="20.2" customHeight="1" x14ac:dyDescent="0.4">
      <c r="A168" s="352"/>
      <c r="B168" s="382"/>
      <c r="C168" s="386"/>
      <c r="D168" s="342" t="s">
        <v>350</v>
      </c>
      <c r="E168" s="1188" t="s">
        <v>440</v>
      </c>
      <c r="F168" s="1188"/>
      <c r="G168" s="1188"/>
      <c r="H168" s="356"/>
      <c r="I168" s="357"/>
      <c r="J168" s="291">
        <f t="shared" si="30"/>
        <v>0</v>
      </c>
      <c r="K168" s="357"/>
      <c r="L168" s="357"/>
      <c r="M168" s="357"/>
    </row>
    <row r="169" spans="1:13" ht="20.2" customHeight="1" x14ac:dyDescent="0.4">
      <c r="A169" s="352"/>
      <c r="B169" s="382"/>
      <c r="C169" s="380">
        <v>2</v>
      </c>
      <c r="D169" s="1184" t="s">
        <v>441</v>
      </c>
      <c r="E169" s="1184"/>
      <c r="F169" s="1184"/>
      <c r="G169" s="1184"/>
      <c r="H169" s="356"/>
      <c r="I169" s="357"/>
      <c r="J169" s="357"/>
      <c r="K169" s="357"/>
      <c r="L169" s="357"/>
      <c r="M169" s="357"/>
    </row>
    <row r="170" spans="1:13" ht="20.2" customHeight="1" x14ac:dyDescent="0.4">
      <c r="A170" s="352"/>
      <c r="B170" s="350"/>
      <c r="C170" s="382"/>
      <c r="D170" s="342" t="s">
        <v>348</v>
      </c>
      <c r="E170" s="1184" t="s">
        <v>439</v>
      </c>
      <c r="F170" s="1184"/>
      <c r="G170" s="1184"/>
      <c r="H170" s="297"/>
      <c r="I170" s="291"/>
      <c r="J170" s="291">
        <f t="shared" ref="J170:J171" si="31">H170+I170</f>
        <v>0</v>
      </c>
      <c r="K170" s="291"/>
      <c r="L170" s="291"/>
      <c r="M170" s="291"/>
    </row>
    <row r="171" spans="1:13" s="290" customFormat="1" ht="20.2" customHeight="1" x14ac:dyDescent="0.45">
      <c r="A171" s="316"/>
      <c r="B171" s="348"/>
      <c r="C171" s="386"/>
      <c r="D171" s="342" t="s">
        <v>350</v>
      </c>
      <c r="E171" s="1188" t="s">
        <v>440</v>
      </c>
      <c r="F171" s="1188"/>
      <c r="G171" s="1188"/>
      <c r="H171" s="297"/>
      <c r="I171" s="291"/>
      <c r="J171" s="291">
        <f t="shared" si="31"/>
        <v>0</v>
      </c>
      <c r="K171" s="291"/>
      <c r="L171" s="291"/>
      <c r="M171" s="291"/>
    </row>
    <row r="172" spans="1:13" ht="20.2" customHeight="1" x14ac:dyDescent="0.4">
      <c r="A172" s="349"/>
      <c r="B172" s="343" t="s">
        <v>118</v>
      </c>
      <c r="C172" s="1184" t="s">
        <v>442</v>
      </c>
      <c r="D172" s="1184"/>
      <c r="E172" s="1184"/>
      <c r="F172" s="1184"/>
      <c r="G172" s="1184"/>
      <c r="H172" s="359"/>
      <c r="I172" s="330"/>
      <c r="J172" s="321"/>
      <c r="K172" s="322"/>
      <c r="L172" s="322"/>
      <c r="M172" s="322"/>
    </row>
    <row r="173" spans="1:13" ht="20.2" customHeight="1" x14ac:dyDescent="0.4">
      <c r="A173" s="349"/>
      <c r="B173" s="350"/>
      <c r="C173" s="380">
        <v>1</v>
      </c>
      <c r="D173" s="1184" t="s">
        <v>414</v>
      </c>
      <c r="E173" s="1184"/>
      <c r="F173" s="1184"/>
      <c r="G173" s="1184"/>
      <c r="H173" s="359"/>
      <c r="I173" s="330"/>
      <c r="J173" s="321"/>
      <c r="K173" s="322"/>
      <c r="L173" s="322"/>
      <c r="M173" s="322"/>
    </row>
    <row r="174" spans="1:13" ht="20.2" customHeight="1" x14ac:dyDescent="0.4">
      <c r="A174" s="349"/>
      <c r="B174" s="350"/>
      <c r="C174" s="382"/>
      <c r="D174" s="342" t="s">
        <v>443</v>
      </c>
      <c r="E174" s="1188" t="s">
        <v>444</v>
      </c>
      <c r="F174" s="1188"/>
      <c r="G174" s="1188"/>
      <c r="H174" s="359"/>
      <c r="I174" s="330"/>
      <c r="J174" s="291">
        <f t="shared" ref="J174:J176" si="32">H174+I174</f>
        <v>0</v>
      </c>
      <c r="K174" s="322"/>
      <c r="L174" s="322"/>
      <c r="M174" s="322"/>
    </row>
    <row r="175" spans="1:13" ht="20.2" customHeight="1" x14ac:dyDescent="0.4">
      <c r="A175" s="349"/>
      <c r="B175" s="350"/>
      <c r="C175" s="382"/>
      <c r="D175" s="342" t="s">
        <v>395</v>
      </c>
      <c r="E175" s="1188" t="s">
        <v>445</v>
      </c>
      <c r="F175" s="1188"/>
      <c r="G175" s="1188"/>
      <c r="H175" s="359"/>
      <c r="I175" s="330"/>
      <c r="J175" s="291">
        <f t="shared" si="32"/>
        <v>0</v>
      </c>
      <c r="K175" s="322"/>
      <c r="L175" s="322"/>
      <c r="M175" s="322"/>
    </row>
    <row r="176" spans="1:13" ht="20.2" customHeight="1" x14ac:dyDescent="0.4">
      <c r="A176" s="349"/>
      <c r="B176" s="350"/>
      <c r="C176" s="386"/>
      <c r="D176" s="342" t="s">
        <v>446</v>
      </c>
      <c r="E176" s="1188" t="s">
        <v>440</v>
      </c>
      <c r="F176" s="1188"/>
      <c r="G176" s="1188"/>
      <c r="H176" s="359"/>
      <c r="I176" s="330"/>
      <c r="J176" s="291">
        <f t="shared" si="32"/>
        <v>0</v>
      </c>
      <c r="K176" s="322"/>
      <c r="L176" s="322"/>
      <c r="M176" s="322"/>
    </row>
    <row r="177" spans="1:13" ht="20.2" customHeight="1" x14ac:dyDescent="0.4">
      <c r="A177" s="349"/>
      <c r="B177" s="350"/>
      <c r="C177" s="380">
        <v>2</v>
      </c>
      <c r="D177" s="1184" t="s">
        <v>415</v>
      </c>
      <c r="E177" s="1184"/>
      <c r="F177" s="1184"/>
      <c r="G177" s="1184"/>
      <c r="H177" s="359"/>
      <c r="I177" s="330"/>
      <c r="J177" s="321"/>
      <c r="K177" s="322"/>
      <c r="L177" s="322"/>
      <c r="M177" s="322"/>
    </row>
    <row r="178" spans="1:13" ht="20.2" customHeight="1" x14ac:dyDescent="0.4">
      <c r="A178" s="349"/>
      <c r="B178" s="350"/>
      <c r="C178" s="382"/>
      <c r="D178" s="342" t="s">
        <v>443</v>
      </c>
      <c r="E178" s="1188" t="s">
        <v>444</v>
      </c>
      <c r="F178" s="1188"/>
      <c r="G178" s="1188"/>
      <c r="H178" s="359"/>
      <c r="I178" s="330"/>
      <c r="J178" s="291">
        <f t="shared" ref="J178:J180" si="33">H178+I178</f>
        <v>0</v>
      </c>
      <c r="K178" s="322"/>
      <c r="L178" s="322"/>
      <c r="M178" s="322"/>
    </row>
    <row r="179" spans="1:13" ht="20.2" customHeight="1" x14ac:dyDescent="0.4">
      <c r="A179" s="349"/>
      <c r="B179" s="350"/>
      <c r="C179" s="382"/>
      <c r="D179" s="342" t="s">
        <v>395</v>
      </c>
      <c r="E179" s="1188" t="s">
        <v>445</v>
      </c>
      <c r="F179" s="1188"/>
      <c r="G179" s="1188"/>
      <c r="H179" s="359"/>
      <c r="I179" s="330"/>
      <c r="J179" s="291">
        <f t="shared" si="33"/>
        <v>0</v>
      </c>
      <c r="K179" s="322"/>
      <c r="L179" s="322"/>
      <c r="M179" s="322"/>
    </row>
    <row r="180" spans="1:13" ht="20.2" customHeight="1" x14ac:dyDescent="0.4">
      <c r="A180" s="349"/>
      <c r="B180" s="348"/>
      <c r="C180" s="386"/>
      <c r="D180" s="342" t="s">
        <v>446</v>
      </c>
      <c r="E180" s="1188" t="s">
        <v>440</v>
      </c>
      <c r="F180" s="1188"/>
      <c r="G180" s="1188"/>
      <c r="H180" s="359"/>
      <c r="I180" s="330"/>
      <c r="J180" s="291">
        <f t="shared" si="33"/>
        <v>0</v>
      </c>
      <c r="K180" s="322"/>
      <c r="L180" s="322"/>
      <c r="M180" s="322"/>
    </row>
    <row r="181" spans="1:13" ht="20.2" customHeight="1" x14ac:dyDescent="0.4">
      <c r="A181" s="349"/>
      <c r="B181" s="343" t="s">
        <v>119</v>
      </c>
      <c r="C181" s="1184" t="s">
        <v>447</v>
      </c>
      <c r="D181" s="1184"/>
      <c r="E181" s="1184"/>
      <c r="F181" s="1184"/>
      <c r="G181" s="1184"/>
      <c r="H181" s="359"/>
      <c r="I181" s="401"/>
      <c r="J181" s="321"/>
      <c r="K181" s="322"/>
      <c r="L181" s="322"/>
      <c r="M181" s="322"/>
    </row>
    <row r="182" spans="1:13" ht="33.75" customHeight="1" x14ac:dyDescent="0.4">
      <c r="A182" s="349"/>
      <c r="B182" s="348"/>
      <c r="C182" s="344"/>
      <c r="D182" s="1184" t="s">
        <v>448</v>
      </c>
      <c r="E182" s="1184"/>
      <c r="F182" s="1184"/>
      <c r="G182" s="1184"/>
      <c r="H182" s="359"/>
      <c r="I182" s="401"/>
      <c r="J182" s="291">
        <f t="shared" ref="J182" si="34">H182+I182</f>
        <v>0</v>
      </c>
      <c r="K182" s="322"/>
      <c r="L182" s="322"/>
      <c r="M182" s="322"/>
    </row>
    <row r="183" spans="1:13" ht="31.5" customHeight="1" x14ac:dyDescent="0.4">
      <c r="A183" s="349"/>
      <c r="B183" s="333" t="s">
        <v>120</v>
      </c>
      <c r="C183" s="1189" t="s">
        <v>449</v>
      </c>
      <c r="D183" s="1189"/>
      <c r="E183" s="1189"/>
      <c r="F183" s="1189"/>
      <c r="G183" s="1189"/>
      <c r="H183" s="359"/>
      <c r="I183" s="401"/>
      <c r="J183" s="321"/>
      <c r="K183" s="322"/>
      <c r="L183" s="322"/>
      <c r="M183" s="322"/>
    </row>
    <row r="184" spans="1:13" ht="20.2" customHeight="1" x14ac:dyDescent="0.4">
      <c r="A184" s="349"/>
      <c r="B184" s="350"/>
      <c r="C184" s="380">
        <v>1</v>
      </c>
      <c r="D184" s="1201" t="s">
        <v>450</v>
      </c>
      <c r="E184" s="1201"/>
      <c r="F184" s="1201"/>
      <c r="G184" s="1201"/>
      <c r="H184" s="393"/>
      <c r="I184" s="402"/>
      <c r="J184" s="291">
        <f t="shared" ref="J184:J185" si="35">H184+I184</f>
        <v>0</v>
      </c>
      <c r="K184" s="367"/>
      <c r="L184" s="367"/>
      <c r="M184" s="367"/>
    </row>
    <row r="185" spans="1:13" ht="20.2" customHeight="1" x14ac:dyDescent="0.4">
      <c r="A185" s="364"/>
      <c r="B185" s="348"/>
      <c r="C185" s="385">
        <v>2</v>
      </c>
      <c r="D185" s="1184" t="s">
        <v>451</v>
      </c>
      <c r="E185" s="1184"/>
      <c r="F185" s="1184"/>
      <c r="G185" s="1184"/>
      <c r="H185" s="359"/>
      <c r="I185" s="403"/>
      <c r="J185" s="291">
        <f t="shared" si="35"/>
        <v>0</v>
      </c>
      <c r="K185" s="322"/>
      <c r="L185" s="322"/>
      <c r="M185" s="322"/>
    </row>
    <row r="186" spans="1:13" ht="20.2" customHeight="1" x14ac:dyDescent="0.4">
      <c r="A186" s="364"/>
      <c r="B186" s="343" t="s">
        <v>121</v>
      </c>
      <c r="C186" s="1184" t="s">
        <v>29</v>
      </c>
      <c r="D186" s="1184"/>
      <c r="E186" s="1184"/>
      <c r="F186" s="1184"/>
      <c r="G186" s="1184"/>
      <c r="H186" s="359"/>
      <c r="I186" s="401"/>
      <c r="J186" s="321"/>
      <c r="K186" s="322"/>
      <c r="L186" s="322"/>
      <c r="M186" s="322"/>
    </row>
    <row r="187" spans="1:13" ht="20.2" customHeight="1" x14ac:dyDescent="0.4">
      <c r="A187" s="364"/>
      <c r="B187" s="350"/>
      <c r="C187" s="380">
        <v>1</v>
      </c>
      <c r="D187" s="1184" t="s">
        <v>452</v>
      </c>
      <c r="E187" s="1184"/>
      <c r="F187" s="1184"/>
      <c r="G187" s="1184"/>
      <c r="H187" s="359"/>
      <c r="I187" s="401"/>
      <c r="J187" s="321"/>
      <c r="K187" s="322"/>
      <c r="L187" s="322"/>
      <c r="M187" s="322"/>
    </row>
    <row r="188" spans="1:13" ht="20.2" customHeight="1" x14ac:dyDescent="0.4">
      <c r="A188" s="349"/>
      <c r="B188" s="350"/>
      <c r="C188" s="382"/>
      <c r="D188" s="342" t="s">
        <v>348</v>
      </c>
      <c r="E188" s="1198" t="s">
        <v>453</v>
      </c>
      <c r="F188" s="1199"/>
      <c r="G188" s="1200"/>
      <c r="H188" s="359"/>
      <c r="I188" s="401"/>
      <c r="J188" s="291">
        <f t="shared" ref="J188:J189" si="36">H188+I188</f>
        <v>0</v>
      </c>
      <c r="K188" s="322"/>
      <c r="L188" s="322"/>
      <c r="M188" s="322"/>
    </row>
    <row r="189" spans="1:13" ht="20.2" customHeight="1" x14ac:dyDescent="0.4">
      <c r="A189" s="349"/>
      <c r="B189" s="350"/>
      <c r="C189" s="386"/>
      <c r="D189" s="342" t="s">
        <v>350</v>
      </c>
      <c r="E189" s="1188" t="s">
        <v>440</v>
      </c>
      <c r="F189" s="1188"/>
      <c r="G189" s="1188"/>
      <c r="H189" s="359"/>
      <c r="I189" s="404"/>
      <c r="J189" s="291">
        <f t="shared" si="36"/>
        <v>0</v>
      </c>
      <c r="K189" s="322"/>
      <c r="L189" s="322"/>
      <c r="M189" s="322"/>
    </row>
    <row r="190" spans="1:13" ht="20.2" customHeight="1" x14ac:dyDescent="0.4">
      <c r="A190" s="358"/>
      <c r="B190" s="350"/>
      <c r="C190" s="380">
        <v>2</v>
      </c>
      <c r="D190" s="1184" t="s">
        <v>454</v>
      </c>
      <c r="E190" s="1184"/>
      <c r="F190" s="1184"/>
      <c r="G190" s="1184"/>
      <c r="H190" s="359"/>
      <c r="I190" s="330"/>
      <c r="J190" s="321"/>
      <c r="K190" s="322"/>
      <c r="L190" s="322"/>
      <c r="M190" s="322"/>
    </row>
    <row r="191" spans="1:13" ht="20.2" customHeight="1" x14ac:dyDescent="0.4">
      <c r="A191" s="358"/>
      <c r="B191" s="350"/>
      <c r="C191" s="382"/>
      <c r="D191" s="342" t="s">
        <v>348</v>
      </c>
      <c r="E191" s="1198" t="s">
        <v>453</v>
      </c>
      <c r="F191" s="1199"/>
      <c r="G191" s="1200"/>
      <c r="H191" s="359"/>
      <c r="I191" s="401"/>
      <c r="J191" s="291">
        <f t="shared" ref="J191:J192" si="37">H191+I191</f>
        <v>0</v>
      </c>
      <c r="K191" s="322"/>
      <c r="L191" s="322"/>
      <c r="M191" s="322"/>
    </row>
    <row r="192" spans="1:13" ht="20.2" customHeight="1" x14ac:dyDescent="0.4">
      <c r="A192" s="358"/>
      <c r="B192" s="350"/>
      <c r="C192" s="386"/>
      <c r="D192" s="342" t="s">
        <v>350</v>
      </c>
      <c r="E192" s="405" t="s">
        <v>440</v>
      </c>
      <c r="F192" s="405"/>
      <c r="G192" s="322"/>
      <c r="H192" s="359"/>
      <c r="I192" s="401"/>
      <c r="J192" s="291">
        <f t="shared" si="37"/>
        <v>0</v>
      </c>
      <c r="K192" s="322"/>
      <c r="L192" s="322"/>
      <c r="M192" s="322"/>
    </row>
    <row r="193" spans="1:13" ht="20.2" customHeight="1" x14ac:dyDescent="0.4">
      <c r="A193" s="1193" t="s">
        <v>42</v>
      </c>
      <c r="B193" s="1196" t="s">
        <v>332</v>
      </c>
      <c r="C193" s="1196"/>
      <c r="D193" s="1196"/>
      <c r="E193" s="1196"/>
      <c r="F193" s="1196"/>
      <c r="G193" s="1196"/>
      <c r="H193" s="1196"/>
      <c r="I193" s="1196"/>
      <c r="J193" s="1196"/>
      <c r="K193" s="1196"/>
      <c r="L193" s="1196"/>
      <c r="M193" s="1196"/>
    </row>
    <row r="194" spans="1:13" ht="20.2" customHeight="1" x14ac:dyDescent="0.4">
      <c r="A194" s="1194"/>
      <c r="B194" s="1194" t="s">
        <v>333</v>
      </c>
      <c r="C194" s="1194"/>
      <c r="D194" s="1194"/>
      <c r="E194" s="1194"/>
      <c r="F194" s="1194"/>
      <c r="G194" s="1194"/>
      <c r="H194" s="1197" t="s">
        <v>11</v>
      </c>
      <c r="I194" s="1197"/>
      <c r="J194" s="1197"/>
      <c r="K194" s="1197"/>
      <c r="L194" s="1197"/>
      <c r="M194" s="1197"/>
    </row>
    <row r="195" spans="1:13" ht="20.2" customHeight="1" x14ac:dyDescent="0.4">
      <c r="A195" s="1194"/>
      <c r="B195" s="1194"/>
      <c r="C195" s="1194"/>
      <c r="D195" s="1194"/>
      <c r="E195" s="1194"/>
      <c r="F195" s="1194"/>
      <c r="G195" s="1194"/>
      <c r="H195" s="1197" t="s">
        <v>334</v>
      </c>
      <c r="I195" s="1197"/>
      <c r="J195" s="1197"/>
      <c r="K195" s="1197" t="s">
        <v>12</v>
      </c>
      <c r="L195" s="1197"/>
      <c r="M195" s="1197"/>
    </row>
    <row r="196" spans="1:13" ht="20.2" customHeight="1" x14ac:dyDescent="0.4">
      <c r="A196" s="1195"/>
      <c r="B196" s="1195"/>
      <c r="C196" s="1195"/>
      <c r="D196" s="1195"/>
      <c r="E196" s="1195"/>
      <c r="F196" s="1195"/>
      <c r="G196" s="1195"/>
      <c r="H196" s="291" t="s">
        <v>14</v>
      </c>
      <c r="I196" s="291" t="s">
        <v>13</v>
      </c>
      <c r="J196" s="291" t="s">
        <v>16</v>
      </c>
      <c r="K196" s="291" t="s">
        <v>14</v>
      </c>
      <c r="L196" s="291" t="s">
        <v>13</v>
      </c>
      <c r="M196" s="291" t="s">
        <v>16</v>
      </c>
    </row>
    <row r="197" spans="1:13" ht="20.2" customHeight="1" x14ac:dyDescent="0.4">
      <c r="A197" s="310">
        <v>1</v>
      </c>
      <c r="B197" s="1190">
        <v>2</v>
      </c>
      <c r="C197" s="1191"/>
      <c r="D197" s="1191"/>
      <c r="E197" s="1191"/>
      <c r="F197" s="1191"/>
      <c r="G197" s="1192"/>
      <c r="H197" s="291">
        <v>3</v>
      </c>
      <c r="I197" s="291">
        <v>4</v>
      </c>
      <c r="J197" s="291">
        <v>5</v>
      </c>
      <c r="K197" s="291">
        <v>6</v>
      </c>
      <c r="L197" s="291">
        <v>7</v>
      </c>
      <c r="M197" s="291">
        <v>8</v>
      </c>
    </row>
    <row r="198" spans="1:13" ht="20.2" customHeight="1" x14ac:dyDescent="0.4">
      <c r="A198" s="349"/>
      <c r="B198" s="382" t="s">
        <v>122</v>
      </c>
      <c r="C198" s="1184" t="s">
        <v>455</v>
      </c>
      <c r="D198" s="1184"/>
      <c r="E198" s="1184"/>
      <c r="F198" s="1184"/>
      <c r="G198" s="1184"/>
      <c r="H198" s="359"/>
      <c r="I198" s="330"/>
      <c r="J198" s="321"/>
      <c r="K198" s="322"/>
      <c r="L198" s="322"/>
      <c r="M198" s="322"/>
    </row>
    <row r="199" spans="1:13" ht="20.2" customHeight="1" x14ac:dyDescent="0.4">
      <c r="A199" s="349"/>
      <c r="B199" s="382"/>
      <c r="C199" s="400">
        <v>1</v>
      </c>
      <c r="D199" s="1189" t="s">
        <v>456</v>
      </c>
      <c r="E199" s="1189"/>
      <c r="F199" s="1189"/>
      <c r="G199" s="1189"/>
      <c r="H199" s="359"/>
      <c r="I199" s="330"/>
      <c r="J199" s="321"/>
      <c r="K199" s="322"/>
      <c r="L199" s="322"/>
      <c r="M199" s="322"/>
    </row>
    <row r="200" spans="1:13" ht="20.2" customHeight="1" x14ac:dyDescent="0.4">
      <c r="A200" s="349"/>
      <c r="B200" s="350"/>
      <c r="C200" s="382"/>
      <c r="D200" s="342" t="s">
        <v>443</v>
      </c>
      <c r="E200" s="1184" t="s">
        <v>457</v>
      </c>
      <c r="F200" s="1184"/>
      <c r="G200" s="1184"/>
      <c r="H200" s="359"/>
      <c r="I200" s="401"/>
      <c r="J200" s="291">
        <f t="shared" ref="J200:J202" si="38">H200+I200</f>
        <v>0</v>
      </c>
      <c r="K200" s="322"/>
      <c r="L200" s="322"/>
      <c r="M200" s="322"/>
    </row>
    <row r="201" spans="1:13" ht="20.2" customHeight="1" x14ac:dyDescent="0.4">
      <c r="A201" s="349"/>
      <c r="B201" s="382"/>
      <c r="C201" s="382"/>
      <c r="D201" s="342" t="s">
        <v>395</v>
      </c>
      <c r="E201" s="1184" t="s">
        <v>458</v>
      </c>
      <c r="F201" s="1184"/>
      <c r="G201" s="1184"/>
      <c r="H201" s="359"/>
      <c r="I201" s="404"/>
      <c r="J201" s="291">
        <f t="shared" si="38"/>
        <v>0</v>
      </c>
      <c r="K201" s="322"/>
      <c r="L201" s="322"/>
      <c r="M201" s="322"/>
    </row>
    <row r="202" spans="1:13" ht="20.2" customHeight="1" x14ac:dyDescent="0.4">
      <c r="A202" s="349"/>
      <c r="B202" s="382"/>
      <c r="C202" s="386"/>
      <c r="D202" s="342" t="s">
        <v>446</v>
      </c>
      <c r="E202" s="1184" t="s">
        <v>459</v>
      </c>
      <c r="F202" s="1184"/>
      <c r="G202" s="1184"/>
      <c r="H202" s="359"/>
      <c r="I202" s="330"/>
      <c r="J202" s="291">
        <f t="shared" si="38"/>
        <v>0</v>
      </c>
      <c r="K202" s="322"/>
      <c r="L202" s="322"/>
      <c r="M202" s="322"/>
    </row>
    <row r="203" spans="1:13" ht="20.2" customHeight="1" x14ac:dyDescent="0.4">
      <c r="A203" s="349"/>
      <c r="B203" s="382"/>
      <c r="C203" s="380">
        <v>2</v>
      </c>
      <c r="D203" s="1184" t="s">
        <v>460</v>
      </c>
      <c r="E203" s="1184"/>
      <c r="F203" s="1184"/>
      <c r="G203" s="1184"/>
      <c r="H203" s="359"/>
      <c r="I203" s="406"/>
      <c r="J203" s="321"/>
      <c r="K203" s="322"/>
      <c r="L203" s="322"/>
      <c r="M203" s="322"/>
    </row>
    <row r="204" spans="1:13" ht="20.2" customHeight="1" x14ac:dyDescent="0.4">
      <c r="A204" s="349"/>
      <c r="B204" s="382"/>
      <c r="C204" s="382"/>
      <c r="D204" s="291" t="s">
        <v>348</v>
      </c>
      <c r="E204" s="1188" t="s">
        <v>414</v>
      </c>
      <c r="F204" s="1188"/>
      <c r="G204" s="1188"/>
      <c r="H204" s="359"/>
      <c r="I204" s="406"/>
      <c r="J204" s="291">
        <f t="shared" ref="J204:J206" si="39">H204+I204</f>
        <v>0</v>
      </c>
      <c r="K204" s="322"/>
      <c r="L204" s="322"/>
      <c r="M204" s="322"/>
    </row>
    <row r="205" spans="1:13" ht="20.2" customHeight="1" x14ac:dyDescent="0.4">
      <c r="A205" s="349"/>
      <c r="B205" s="382"/>
      <c r="C205" s="382"/>
      <c r="D205" s="291" t="s">
        <v>395</v>
      </c>
      <c r="E205" s="1188" t="s">
        <v>415</v>
      </c>
      <c r="F205" s="1188"/>
      <c r="G205" s="1188"/>
      <c r="H205" s="359"/>
      <c r="I205" s="406"/>
      <c r="J205" s="291">
        <f t="shared" si="39"/>
        <v>0</v>
      </c>
      <c r="K205" s="322"/>
      <c r="L205" s="322"/>
      <c r="M205" s="322"/>
    </row>
    <row r="206" spans="1:13" ht="20.2" customHeight="1" x14ac:dyDescent="0.4">
      <c r="A206" s="349"/>
      <c r="B206" s="386"/>
      <c r="C206" s="386"/>
      <c r="D206" s="291" t="s">
        <v>446</v>
      </c>
      <c r="E206" s="1188" t="s">
        <v>461</v>
      </c>
      <c r="F206" s="1188"/>
      <c r="G206" s="1188"/>
      <c r="H206" s="359"/>
      <c r="I206" s="406"/>
      <c r="J206" s="291">
        <f t="shared" si="39"/>
        <v>0</v>
      </c>
      <c r="K206" s="322"/>
      <c r="L206" s="322"/>
      <c r="M206" s="322"/>
    </row>
    <row r="207" spans="1:13" ht="35.25" customHeight="1" x14ac:dyDescent="0.4">
      <c r="A207" s="349"/>
      <c r="B207" s="333" t="s">
        <v>123</v>
      </c>
      <c r="C207" s="1189" t="s">
        <v>462</v>
      </c>
      <c r="D207" s="1189"/>
      <c r="E207" s="1189"/>
      <c r="F207" s="1189"/>
      <c r="G207" s="1189"/>
      <c r="H207" s="407"/>
      <c r="I207" s="330"/>
      <c r="J207" s="321"/>
      <c r="K207" s="322"/>
      <c r="L207" s="322"/>
      <c r="M207" s="322"/>
    </row>
    <row r="208" spans="1:13" ht="20.2" customHeight="1" x14ac:dyDescent="0.4">
      <c r="A208" s="349"/>
      <c r="B208" s="350"/>
      <c r="C208" s="385">
        <v>1</v>
      </c>
      <c r="D208" s="1184" t="s">
        <v>463</v>
      </c>
      <c r="E208" s="1184"/>
      <c r="F208" s="1184"/>
      <c r="G208" s="1184"/>
      <c r="H208" s="407"/>
      <c r="I208" s="330"/>
      <c r="J208" s="291">
        <f t="shared" ref="J208:J210" si="40">H208+I208</f>
        <v>0</v>
      </c>
      <c r="K208" s="322"/>
      <c r="L208" s="322"/>
      <c r="M208" s="322"/>
    </row>
    <row r="209" spans="1:16" ht="20.2" customHeight="1" x14ac:dyDescent="0.4">
      <c r="A209" s="349"/>
      <c r="B209" s="350"/>
      <c r="C209" s="385">
        <v>2</v>
      </c>
      <c r="D209" s="1184" t="s">
        <v>464</v>
      </c>
      <c r="E209" s="1184"/>
      <c r="F209" s="1184"/>
      <c r="G209" s="1184"/>
      <c r="H209" s="359"/>
      <c r="I209" s="406"/>
      <c r="J209" s="291">
        <f t="shared" si="40"/>
        <v>0</v>
      </c>
      <c r="K209" s="322"/>
      <c r="L209" s="322"/>
      <c r="M209" s="322"/>
    </row>
    <row r="210" spans="1:16" ht="20.2" customHeight="1" x14ac:dyDescent="0.4">
      <c r="A210" s="349"/>
      <c r="B210" s="386"/>
      <c r="C210" s="385">
        <v>3</v>
      </c>
      <c r="D210" s="1184" t="s">
        <v>465</v>
      </c>
      <c r="E210" s="1184"/>
      <c r="F210" s="1184"/>
      <c r="G210" s="1184"/>
      <c r="H210" s="359"/>
      <c r="I210" s="406"/>
      <c r="J210" s="291">
        <f t="shared" si="40"/>
        <v>0</v>
      </c>
      <c r="K210" s="322"/>
      <c r="L210" s="322"/>
      <c r="M210" s="322"/>
    </row>
    <row r="211" spans="1:16" ht="20.2" customHeight="1" x14ac:dyDescent="0.4">
      <c r="A211" s="349"/>
      <c r="B211" s="380" t="s">
        <v>2</v>
      </c>
      <c r="C211" s="1184" t="s">
        <v>466</v>
      </c>
      <c r="D211" s="1184"/>
      <c r="E211" s="1184"/>
      <c r="F211" s="1184"/>
      <c r="G211" s="1184"/>
      <c r="H211" s="359"/>
      <c r="I211" s="406"/>
      <c r="J211" s="321"/>
      <c r="K211" s="322"/>
      <c r="L211" s="322"/>
      <c r="M211" s="322"/>
    </row>
    <row r="212" spans="1:16" ht="20.2" customHeight="1" x14ac:dyDescent="0.4">
      <c r="A212" s="349"/>
      <c r="B212" s="382"/>
      <c r="C212" s="385">
        <v>1</v>
      </c>
      <c r="D212" s="388" t="s">
        <v>414</v>
      </c>
      <c r="E212" s="388"/>
      <c r="F212" s="388"/>
      <c r="G212" s="388"/>
      <c r="H212" s="359"/>
      <c r="I212" s="406"/>
      <c r="J212" s="291">
        <f t="shared" ref="J212:J214" si="41">H212+I212</f>
        <v>0</v>
      </c>
      <c r="K212" s="322"/>
      <c r="L212" s="322"/>
      <c r="M212" s="322"/>
    </row>
    <row r="213" spans="1:16" ht="20.2" customHeight="1" x14ac:dyDescent="0.4">
      <c r="A213" s="349"/>
      <c r="B213" s="382"/>
      <c r="C213" s="385">
        <v>2</v>
      </c>
      <c r="D213" s="388" t="s">
        <v>415</v>
      </c>
      <c r="E213" s="388"/>
      <c r="F213" s="388"/>
      <c r="G213" s="322"/>
      <c r="H213" s="359"/>
      <c r="I213" s="406"/>
      <c r="J213" s="291">
        <f t="shared" si="41"/>
        <v>0</v>
      </c>
      <c r="K213" s="322"/>
      <c r="L213" s="322"/>
      <c r="M213" s="322"/>
    </row>
    <row r="214" spans="1:16" ht="20.2" customHeight="1" x14ac:dyDescent="0.4">
      <c r="A214" s="349"/>
      <c r="B214" s="386"/>
      <c r="C214" s="385">
        <v>3</v>
      </c>
      <c r="D214" s="388" t="s">
        <v>467</v>
      </c>
      <c r="E214" s="388"/>
      <c r="F214" s="388"/>
      <c r="G214" s="322"/>
      <c r="H214" s="359"/>
      <c r="I214" s="406"/>
      <c r="J214" s="291">
        <f t="shared" si="41"/>
        <v>0</v>
      </c>
      <c r="K214" s="322"/>
      <c r="L214" s="322"/>
      <c r="M214" s="322"/>
    </row>
    <row r="215" spans="1:16" ht="20.2" customHeight="1" x14ac:dyDescent="0.4">
      <c r="A215" s="352"/>
      <c r="B215" s="380" t="s">
        <v>125</v>
      </c>
      <c r="C215" s="1184" t="s">
        <v>468</v>
      </c>
      <c r="D215" s="1184"/>
      <c r="E215" s="1184"/>
      <c r="F215" s="1184"/>
      <c r="G215" s="1184"/>
      <c r="H215" s="297"/>
      <c r="I215" s="291"/>
      <c r="J215" s="291"/>
      <c r="K215" s="291"/>
      <c r="L215" s="291"/>
      <c r="M215" s="291"/>
    </row>
    <row r="216" spans="1:16" ht="32.25" customHeight="1" x14ac:dyDescent="0.4">
      <c r="A216" s="352"/>
      <c r="B216" s="386"/>
      <c r="C216" s="408"/>
      <c r="D216" s="1184" t="s">
        <v>469</v>
      </c>
      <c r="E216" s="1184"/>
      <c r="F216" s="1184"/>
      <c r="G216" s="1184"/>
      <c r="H216" s="292"/>
      <c r="I216" s="291"/>
      <c r="J216" s="291">
        <f t="shared" ref="J216" si="42">H216+I216</f>
        <v>0</v>
      </c>
      <c r="K216" s="291"/>
      <c r="L216" s="291"/>
      <c r="M216" s="291"/>
    </row>
    <row r="217" spans="1:16" s="290" customFormat="1" ht="25.05" customHeight="1" x14ac:dyDescent="0.45">
      <c r="A217" s="409"/>
      <c r="B217" s="1185" t="s">
        <v>470</v>
      </c>
      <c r="C217" s="1186"/>
      <c r="D217" s="1186"/>
      <c r="E217" s="1186"/>
      <c r="F217" s="1186"/>
      <c r="G217" s="1187"/>
      <c r="H217" s="292"/>
      <c r="I217" s="291"/>
      <c r="J217" s="291"/>
      <c r="K217" s="291"/>
      <c r="L217" s="291"/>
      <c r="M217" s="291"/>
    </row>
    <row r="218" spans="1:16" s="290" customFormat="1" ht="25.05" customHeight="1" x14ac:dyDescent="0.45">
      <c r="A218" s="280"/>
      <c r="B218" s="410"/>
      <c r="C218" s="410"/>
      <c r="D218" s="410"/>
      <c r="E218" s="410"/>
      <c r="F218" s="410"/>
      <c r="G218" s="410"/>
      <c r="H218" s="280"/>
      <c r="I218" s="280"/>
      <c r="J218" s="280"/>
      <c r="K218" s="280"/>
      <c r="L218" s="280"/>
      <c r="M218" s="280"/>
    </row>
    <row r="219" spans="1:16" s="290" customFormat="1" ht="25.05" customHeight="1" x14ac:dyDescent="0.45">
      <c r="A219" s="280"/>
      <c r="B219" s="410"/>
      <c r="C219" s="410"/>
      <c r="D219" s="410"/>
      <c r="E219" s="410"/>
      <c r="F219" s="410"/>
      <c r="G219" s="410"/>
      <c r="H219" s="280"/>
      <c r="I219" s="280"/>
      <c r="J219" s="280"/>
      <c r="K219" s="280"/>
      <c r="L219" s="280"/>
      <c r="M219" s="280"/>
    </row>
    <row r="220" spans="1:16" ht="15.75" customHeight="1" x14ac:dyDescent="0.4">
      <c r="B220" s="411"/>
      <c r="C220" s="412"/>
      <c r="D220" s="412"/>
      <c r="E220" s="412"/>
      <c r="F220" s="412"/>
      <c r="G220" s="412"/>
      <c r="J220" s="415"/>
    </row>
    <row r="221" spans="1:16" s="282" customFormat="1" ht="30" customHeight="1" x14ac:dyDescent="0.4">
      <c r="A221" s="416" t="s">
        <v>32</v>
      </c>
      <c r="B221" s="417" t="s">
        <v>471</v>
      </c>
      <c r="C221" s="418"/>
      <c r="D221" s="419"/>
      <c r="E221" s="419"/>
      <c r="F221" s="419"/>
      <c r="G221" s="420"/>
      <c r="H221" s="420"/>
      <c r="I221" s="421"/>
      <c r="J221" s="308"/>
      <c r="K221" s="298"/>
      <c r="L221" s="298"/>
      <c r="M221" s="299"/>
      <c r="N221" s="288"/>
      <c r="O221" s="288"/>
      <c r="P221" s="289"/>
    </row>
    <row r="222" spans="1:16" s="282" customFormat="1" ht="33" customHeight="1" x14ac:dyDescent="0.4">
      <c r="A222" s="422"/>
      <c r="B222" s="423" t="s">
        <v>312</v>
      </c>
      <c r="C222" s="1179" t="s">
        <v>472</v>
      </c>
      <c r="D222" s="1179"/>
      <c r="E222" s="1179"/>
      <c r="F222" s="1179"/>
      <c r="G222" s="1180"/>
      <c r="H222" s="424"/>
      <c r="I222" s="425"/>
      <c r="J222" s="426"/>
      <c r="K222" s="426"/>
      <c r="L222" s="426"/>
      <c r="M222" s="427"/>
      <c r="N222" s="426"/>
      <c r="O222" s="428"/>
      <c r="P222" s="289"/>
    </row>
    <row r="223" spans="1:16" s="282" customFormat="1" ht="21" customHeight="1" x14ac:dyDescent="0.4">
      <c r="A223" s="422"/>
      <c r="B223" s="429" t="s">
        <v>314</v>
      </c>
      <c r="C223" s="1181" t="s">
        <v>473</v>
      </c>
      <c r="D223" s="1181"/>
      <c r="E223" s="1181"/>
      <c r="F223" s="1181"/>
      <c r="G223" s="1182"/>
      <c r="H223" s="430"/>
      <c r="I223" s="430"/>
      <c r="J223" s="431"/>
      <c r="K223" s="428"/>
      <c r="L223" s="428"/>
      <c r="M223" s="432"/>
      <c r="N223" s="428"/>
      <c r="O223" s="428"/>
      <c r="P223" s="289"/>
    </row>
    <row r="224" spans="1:16" s="282" customFormat="1" ht="34.5" customHeight="1" x14ac:dyDescent="0.4">
      <c r="A224" s="422"/>
      <c r="B224" s="423" t="s">
        <v>316</v>
      </c>
      <c r="C224" s="1179" t="s">
        <v>474</v>
      </c>
      <c r="D224" s="1179"/>
      <c r="E224" s="1179"/>
      <c r="F224" s="1179"/>
      <c r="G224" s="1180"/>
      <c r="H224" s="430"/>
      <c r="I224" s="430"/>
      <c r="J224" s="431"/>
      <c r="K224" s="428"/>
      <c r="L224" s="428"/>
      <c r="M224" s="432"/>
      <c r="N224" s="428"/>
      <c r="O224" s="428"/>
      <c r="P224" s="289"/>
    </row>
    <row r="225" spans="1:16" s="282" customFormat="1" ht="21" customHeight="1" x14ac:dyDescent="0.4">
      <c r="A225" s="422"/>
      <c r="B225" s="429" t="s">
        <v>318</v>
      </c>
      <c r="C225" s="288" t="s">
        <v>475</v>
      </c>
      <c r="D225" s="433"/>
      <c r="E225" s="433"/>
      <c r="F225" s="433"/>
      <c r="G225" s="434"/>
      <c r="H225" s="435"/>
      <c r="I225" s="436"/>
      <c r="J225" s="431"/>
      <c r="K225" s="428"/>
      <c r="L225" s="428"/>
      <c r="M225" s="432"/>
      <c r="N225" s="428"/>
      <c r="O225" s="428"/>
      <c r="P225" s="289"/>
    </row>
    <row r="226" spans="1:16" s="282" customFormat="1" ht="20.2" customHeight="1" x14ac:dyDescent="0.4">
      <c r="A226" s="422"/>
      <c r="B226" s="423"/>
      <c r="C226" s="289"/>
      <c r="D226" s="437"/>
      <c r="E226" s="437"/>
      <c r="F226" s="437"/>
      <c r="G226" s="430"/>
      <c r="H226" s="438"/>
      <c r="I226" s="1176" t="s">
        <v>476</v>
      </c>
      <c r="J226" s="1176"/>
      <c r="K226" s="1176"/>
      <c r="L226" s="1176"/>
      <c r="M226" s="439"/>
      <c r="N226" s="289"/>
      <c r="O226" s="428"/>
      <c r="P226" s="289"/>
    </row>
    <row r="227" spans="1:16" s="282" customFormat="1" ht="20.2" customHeight="1" x14ac:dyDescent="0.4">
      <c r="A227" s="422"/>
      <c r="B227" s="423"/>
      <c r="C227" s="289"/>
      <c r="D227" s="437"/>
      <c r="E227" s="437"/>
      <c r="F227" s="437"/>
      <c r="G227" s="430"/>
      <c r="H227" s="438"/>
      <c r="I227" s="440"/>
      <c r="J227" s="431"/>
      <c r="K227" s="440"/>
      <c r="L227" s="289"/>
      <c r="M227" s="441"/>
      <c r="N227" s="440"/>
      <c r="O227" s="428"/>
      <c r="P227" s="289"/>
    </row>
    <row r="228" spans="1:16" s="282" customFormat="1" ht="20.2" customHeight="1" x14ac:dyDescent="0.4">
      <c r="A228" s="422"/>
      <c r="B228" s="423"/>
      <c r="C228" s="289"/>
      <c r="D228" s="437"/>
      <c r="E228" s="437"/>
      <c r="F228" s="437"/>
      <c r="G228" s="430"/>
      <c r="H228" s="438"/>
      <c r="I228" s="440"/>
      <c r="J228" s="431"/>
      <c r="K228" s="440"/>
      <c r="L228" s="289"/>
      <c r="M228" s="441"/>
      <c r="N228" s="440"/>
      <c r="O228" s="428"/>
      <c r="P228" s="289"/>
    </row>
    <row r="229" spans="1:16" s="282" customFormat="1" ht="20.2" customHeight="1" x14ac:dyDescent="0.4">
      <c r="A229" s="422"/>
      <c r="B229" s="442"/>
      <c r="C229" s="430"/>
      <c r="D229" s="437"/>
      <c r="E229" s="437"/>
      <c r="F229" s="437"/>
      <c r="G229" s="430"/>
      <c r="H229" s="438"/>
      <c r="I229" s="428"/>
      <c r="J229" s="431"/>
      <c r="K229" s="440"/>
      <c r="L229" s="289"/>
      <c r="M229" s="432"/>
      <c r="N229" s="428"/>
      <c r="O229" s="428"/>
      <c r="P229" s="289"/>
    </row>
    <row r="230" spans="1:16" s="282" customFormat="1" ht="20.2" customHeight="1" x14ac:dyDescent="0.4">
      <c r="A230" s="422"/>
      <c r="B230" s="442"/>
      <c r="C230" s="430"/>
      <c r="D230" s="437"/>
      <c r="E230" s="437"/>
      <c r="F230" s="437"/>
      <c r="G230" s="430"/>
      <c r="H230" s="438"/>
      <c r="I230" s="443"/>
      <c r="J230" s="444"/>
      <c r="K230" s="445"/>
      <c r="L230" s="446"/>
      <c r="M230" s="432"/>
      <c r="N230" s="428"/>
      <c r="O230" s="428"/>
      <c r="P230" s="289"/>
    </row>
    <row r="231" spans="1:16" s="282" customFormat="1" ht="20.2" customHeight="1" x14ac:dyDescent="0.4">
      <c r="A231" s="422"/>
      <c r="B231" s="442"/>
      <c r="C231" s="430"/>
      <c r="D231" s="437"/>
      <c r="E231" s="437"/>
      <c r="F231" s="437"/>
      <c r="G231" s="430"/>
      <c r="H231" s="438"/>
      <c r="I231" s="428" t="s">
        <v>477</v>
      </c>
      <c r="J231" s="431"/>
      <c r="K231" s="428"/>
      <c r="L231" s="289"/>
      <c r="M231" s="432"/>
      <c r="N231" s="428"/>
      <c r="O231" s="428"/>
      <c r="P231" s="289"/>
    </row>
    <row r="232" spans="1:16" s="282" customFormat="1" ht="20.2" customHeight="1" x14ac:dyDescent="0.4">
      <c r="A232" s="447"/>
      <c r="B232" s="448"/>
      <c r="C232" s="449"/>
      <c r="D232" s="450"/>
      <c r="E232" s="450"/>
      <c r="F232" s="450"/>
      <c r="G232" s="449"/>
      <c r="H232" s="451"/>
      <c r="I232" s="452"/>
      <c r="J232" s="444"/>
      <c r="K232" s="443"/>
      <c r="L232" s="443"/>
      <c r="M232" s="453"/>
      <c r="N232" s="428"/>
      <c r="O232" s="428"/>
      <c r="P232" s="289"/>
    </row>
    <row r="233" spans="1:16" s="465" customFormat="1" ht="30" customHeight="1" x14ac:dyDescent="0.4">
      <c r="A233" s="454" t="s">
        <v>33</v>
      </c>
      <c r="B233" s="455" t="s">
        <v>478</v>
      </c>
      <c r="C233" s="456"/>
      <c r="D233" s="457"/>
      <c r="E233" s="457"/>
      <c r="F233" s="457"/>
      <c r="G233" s="458"/>
      <c r="H233" s="458"/>
      <c r="I233" s="459"/>
      <c r="J233" s="460"/>
      <c r="K233" s="461"/>
      <c r="L233" s="461"/>
      <c r="M233" s="462"/>
      <c r="N233" s="463"/>
      <c r="O233" s="463"/>
      <c r="P233" s="464"/>
    </row>
    <row r="234" spans="1:16" s="282" customFormat="1" ht="20.2" customHeight="1" x14ac:dyDescent="0.4">
      <c r="A234" s="422"/>
      <c r="B234" s="429" t="s">
        <v>312</v>
      </c>
      <c r="C234" s="466" t="s">
        <v>479</v>
      </c>
      <c r="D234" s="437"/>
      <c r="E234" s="437"/>
      <c r="F234" s="437"/>
      <c r="G234" s="430"/>
      <c r="H234" s="438"/>
      <c r="I234" s="467"/>
      <c r="J234" s="431"/>
      <c r="K234" s="428"/>
      <c r="L234" s="428"/>
      <c r="M234" s="432"/>
      <c r="N234" s="428"/>
      <c r="O234" s="428"/>
      <c r="P234" s="289"/>
    </row>
    <row r="235" spans="1:16" s="282" customFormat="1" ht="20.2" customHeight="1" x14ac:dyDescent="0.4">
      <c r="A235" s="422"/>
      <c r="B235" s="429" t="s">
        <v>314</v>
      </c>
      <c r="C235" s="466" t="s">
        <v>479</v>
      </c>
      <c r="D235" s="437"/>
      <c r="E235" s="437"/>
      <c r="F235" s="437"/>
      <c r="G235" s="430"/>
      <c r="H235" s="438"/>
      <c r="I235" s="467"/>
      <c r="J235" s="431"/>
      <c r="K235" s="428"/>
      <c r="L235" s="428"/>
      <c r="M235" s="432"/>
      <c r="N235" s="428"/>
      <c r="O235" s="428"/>
      <c r="P235" s="289"/>
    </row>
    <row r="236" spans="1:16" s="290" customFormat="1" ht="20.2" customHeight="1" x14ac:dyDescent="0.45">
      <c r="A236" s="422"/>
      <c r="B236" s="429" t="s">
        <v>316</v>
      </c>
      <c r="C236" s="466" t="s">
        <v>479</v>
      </c>
      <c r="D236" s="437"/>
      <c r="E236" s="437"/>
      <c r="F236" s="437"/>
      <c r="G236" s="430"/>
      <c r="H236" s="438"/>
      <c r="I236" s="467"/>
      <c r="J236" s="431"/>
      <c r="K236" s="428"/>
      <c r="L236" s="428"/>
      <c r="M236" s="432"/>
      <c r="N236" s="428"/>
      <c r="O236" s="428"/>
      <c r="P236" s="288"/>
    </row>
    <row r="237" spans="1:16" s="282" customFormat="1" ht="20.2" customHeight="1" x14ac:dyDescent="0.4">
      <c r="A237" s="422"/>
      <c r="B237" s="429" t="s">
        <v>318</v>
      </c>
      <c r="C237" s="433" t="s">
        <v>480</v>
      </c>
      <c r="D237" s="437"/>
      <c r="E237" s="437"/>
      <c r="F237" s="437"/>
      <c r="G237" s="430"/>
      <c r="H237" s="438"/>
      <c r="I237" s="467"/>
      <c r="J237" s="431"/>
      <c r="K237" s="428"/>
      <c r="L237" s="428"/>
      <c r="M237" s="432"/>
      <c r="N237" s="428"/>
      <c r="O237" s="428"/>
      <c r="P237" s="289"/>
    </row>
    <row r="238" spans="1:16" s="282" customFormat="1" ht="20.2" customHeight="1" x14ac:dyDescent="0.4">
      <c r="A238" s="422"/>
      <c r="B238" s="442"/>
      <c r="C238" s="430"/>
      <c r="D238" s="437"/>
      <c r="E238" s="437"/>
      <c r="F238" s="437"/>
      <c r="G238" s="430"/>
      <c r="H238" s="438"/>
      <c r="I238" s="467"/>
      <c r="J238" s="431"/>
      <c r="K238" s="428"/>
      <c r="L238" s="428"/>
      <c r="M238" s="432"/>
      <c r="N238" s="428"/>
      <c r="O238" s="428"/>
      <c r="P238" s="289"/>
    </row>
    <row r="239" spans="1:16" s="282" customFormat="1" ht="20.2" customHeight="1" x14ac:dyDescent="0.4">
      <c r="A239" s="422"/>
      <c r="B239" s="442"/>
      <c r="C239" s="430"/>
      <c r="D239" s="437"/>
      <c r="E239" s="437"/>
      <c r="F239" s="437"/>
      <c r="G239" s="430"/>
      <c r="H239" s="438"/>
      <c r="I239" s="1183" t="s">
        <v>481</v>
      </c>
      <c r="J239" s="1183"/>
      <c r="K239" s="1183"/>
      <c r="L239" s="1183"/>
      <c r="M239" s="441"/>
      <c r="N239" s="440"/>
      <c r="O239" s="440"/>
      <c r="P239" s="289"/>
    </row>
    <row r="240" spans="1:16" s="282" customFormat="1" ht="20.2" customHeight="1" x14ac:dyDescent="0.4">
      <c r="A240" s="422"/>
      <c r="B240" s="442"/>
      <c r="C240" s="430"/>
      <c r="D240" s="437"/>
      <c r="E240" s="437"/>
      <c r="F240" s="437"/>
      <c r="G240" s="430"/>
      <c r="H240" s="438"/>
      <c r="I240" s="468"/>
      <c r="J240" s="468"/>
      <c r="K240" s="468"/>
      <c r="L240" s="468"/>
      <c r="M240" s="441"/>
      <c r="N240" s="440"/>
      <c r="O240" s="440"/>
      <c r="P240" s="289"/>
    </row>
    <row r="241" spans="1:16" s="282" customFormat="1" ht="20.2" customHeight="1" x14ac:dyDescent="0.4">
      <c r="A241" s="422"/>
      <c r="B241" s="442"/>
      <c r="C241" s="430"/>
      <c r="D241" s="437"/>
      <c r="E241" s="437"/>
      <c r="F241" s="437"/>
      <c r="G241" s="430"/>
      <c r="H241" s="438"/>
      <c r="I241" s="468"/>
      <c r="J241" s="468"/>
      <c r="K241" s="468"/>
      <c r="L241" s="468"/>
      <c r="M241" s="441"/>
      <c r="N241" s="440"/>
      <c r="O241" s="440"/>
      <c r="P241" s="289"/>
    </row>
    <row r="242" spans="1:16" s="282" customFormat="1" ht="20.2" customHeight="1" x14ac:dyDescent="0.4">
      <c r="A242" s="422"/>
      <c r="B242" s="442"/>
      <c r="C242" s="430"/>
      <c r="D242" s="437"/>
      <c r="E242" s="437"/>
      <c r="F242" s="437"/>
      <c r="G242" s="430"/>
      <c r="H242" s="438"/>
      <c r="I242" s="428"/>
      <c r="J242" s="431"/>
      <c r="K242" s="440"/>
      <c r="L242" s="289"/>
      <c r="M242" s="432"/>
      <c r="N242" s="428"/>
      <c r="O242" s="428"/>
      <c r="P242" s="289"/>
    </row>
    <row r="243" spans="1:16" s="282" customFormat="1" ht="20.2" customHeight="1" x14ac:dyDescent="0.4">
      <c r="A243" s="422"/>
      <c r="B243" s="442"/>
      <c r="C243" s="430"/>
      <c r="D243" s="437"/>
      <c r="E243" s="437"/>
      <c r="F243" s="437"/>
      <c r="G243" s="430"/>
      <c r="H243" s="438"/>
      <c r="I243" s="1177" t="s">
        <v>482</v>
      </c>
      <c r="J243" s="1177"/>
      <c r="K243" s="1177"/>
      <c r="L243" s="1177"/>
      <c r="M243" s="441"/>
      <c r="N243" s="440"/>
      <c r="O243" s="440"/>
      <c r="P243" s="289"/>
    </row>
    <row r="244" spans="1:16" s="282" customFormat="1" ht="20.2" customHeight="1" x14ac:dyDescent="0.4">
      <c r="A244" s="422"/>
      <c r="B244" s="442"/>
      <c r="C244" s="430"/>
      <c r="D244" s="437"/>
      <c r="E244" s="437"/>
      <c r="F244" s="437"/>
      <c r="G244" s="430"/>
      <c r="H244" s="438"/>
      <c r="I244" s="428" t="s">
        <v>483</v>
      </c>
      <c r="J244" s="431"/>
      <c r="K244" s="289"/>
      <c r="L244" s="289"/>
      <c r="M244" s="432"/>
      <c r="N244" s="428"/>
      <c r="O244" s="428"/>
      <c r="P244" s="289"/>
    </row>
    <row r="245" spans="1:16" s="282" customFormat="1" ht="20.2" customHeight="1" x14ac:dyDescent="0.4">
      <c r="A245" s="447"/>
      <c r="B245" s="448"/>
      <c r="C245" s="449"/>
      <c r="D245" s="450"/>
      <c r="E245" s="450"/>
      <c r="F245" s="450"/>
      <c r="G245" s="449"/>
      <c r="H245" s="469"/>
      <c r="I245" s="452"/>
      <c r="J245" s="444"/>
      <c r="K245" s="446"/>
      <c r="L245" s="443"/>
      <c r="M245" s="453"/>
      <c r="N245" s="428"/>
      <c r="O245" s="428"/>
      <c r="P245" s="289"/>
    </row>
    <row r="246" spans="1:16" s="465" customFormat="1" ht="30" customHeight="1" x14ac:dyDescent="0.4">
      <c r="A246" s="416" t="s">
        <v>135</v>
      </c>
      <c r="B246" s="417" t="s">
        <v>484</v>
      </c>
      <c r="C246" s="470"/>
      <c r="D246" s="471"/>
      <c r="E246" s="471"/>
      <c r="F246" s="471"/>
      <c r="G246" s="472"/>
      <c r="H246" s="472"/>
      <c r="I246" s="473"/>
      <c r="J246" s="474"/>
      <c r="K246" s="475"/>
      <c r="L246" s="475"/>
      <c r="M246" s="476"/>
      <c r="N246" s="463"/>
      <c r="O246" s="463"/>
      <c r="P246" s="464"/>
    </row>
    <row r="247" spans="1:16" s="282" customFormat="1" ht="20.2" customHeight="1" x14ac:dyDescent="0.4">
      <c r="A247" s="422"/>
      <c r="B247" s="429" t="s">
        <v>312</v>
      </c>
      <c r="C247" s="466" t="s">
        <v>479</v>
      </c>
      <c r="D247" s="437"/>
      <c r="E247" s="437"/>
      <c r="F247" s="437"/>
      <c r="G247" s="430"/>
      <c r="H247" s="438"/>
      <c r="I247" s="467"/>
      <c r="J247" s="431"/>
      <c r="K247" s="428"/>
      <c r="L247" s="428"/>
      <c r="M247" s="432"/>
      <c r="N247" s="428"/>
      <c r="O247" s="428"/>
      <c r="P247" s="289"/>
    </row>
    <row r="248" spans="1:16" s="282" customFormat="1" ht="20.2" customHeight="1" x14ac:dyDescent="0.4">
      <c r="A248" s="422"/>
      <c r="B248" s="429" t="s">
        <v>314</v>
      </c>
      <c r="C248" s="466" t="s">
        <v>479</v>
      </c>
      <c r="D248" s="437"/>
      <c r="E248" s="437"/>
      <c r="F248" s="437"/>
      <c r="G248" s="430"/>
      <c r="H248" s="438"/>
      <c r="I248" s="467"/>
      <c r="J248" s="431"/>
      <c r="K248" s="428"/>
      <c r="L248" s="428"/>
      <c r="M248" s="432"/>
      <c r="N248" s="428"/>
      <c r="O248" s="428"/>
      <c r="P248" s="289"/>
    </row>
    <row r="249" spans="1:16" s="282" customFormat="1" ht="20.2" customHeight="1" x14ac:dyDescent="0.4">
      <c r="A249" s="422"/>
      <c r="B249" s="429" t="s">
        <v>316</v>
      </c>
      <c r="C249" s="466" t="s">
        <v>479</v>
      </c>
      <c r="D249" s="437"/>
      <c r="E249" s="437"/>
      <c r="F249" s="437"/>
      <c r="G249" s="430"/>
      <c r="H249" s="438"/>
      <c r="I249" s="467"/>
      <c r="J249" s="431"/>
      <c r="K249" s="428"/>
      <c r="L249" s="428"/>
      <c r="M249" s="432"/>
      <c r="N249" s="428"/>
      <c r="O249" s="428"/>
      <c r="P249" s="289"/>
    </row>
    <row r="250" spans="1:16" s="282" customFormat="1" ht="20.2" customHeight="1" x14ac:dyDescent="0.4">
      <c r="A250" s="422"/>
      <c r="B250" s="429" t="s">
        <v>318</v>
      </c>
      <c r="C250" s="433" t="s">
        <v>480</v>
      </c>
      <c r="D250" s="428"/>
      <c r="E250" s="428"/>
      <c r="F250" s="428"/>
      <c r="G250" s="428"/>
      <c r="H250" s="477"/>
      <c r="I250" s="1176" t="s">
        <v>476</v>
      </c>
      <c r="J250" s="1176"/>
      <c r="K250" s="1176"/>
      <c r="L250" s="1176"/>
      <c r="M250" s="432"/>
      <c r="N250" s="428"/>
      <c r="O250" s="428"/>
      <c r="P250" s="289"/>
    </row>
    <row r="251" spans="1:16" s="282" customFormat="1" ht="20.2" customHeight="1" x14ac:dyDescent="0.4">
      <c r="A251" s="422"/>
      <c r="B251" s="428"/>
      <c r="C251" s="428"/>
      <c r="D251" s="428"/>
      <c r="E251" s="428"/>
      <c r="F251" s="428"/>
      <c r="G251" s="428"/>
      <c r="H251" s="477"/>
      <c r="I251" s="428"/>
      <c r="J251" s="431"/>
      <c r="K251" s="440"/>
      <c r="L251" s="289"/>
      <c r="M251" s="432"/>
      <c r="N251" s="428"/>
      <c r="O251" s="428"/>
      <c r="P251" s="289"/>
    </row>
    <row r="252" spans="1:16" s="282" customFormat="1" ht="20.2" customHeight="1" x14ac:dyDescent="0.4">
      <c r="A252" s="422"/>
      <c r="B252" s="442"/>
      <c r="C252" s="478"/>
      <c r="D252" s="437"/>
      <c r="E252" s="437"/>
      <c r="F252" s="437"/>
      <c r="G252" s="430"/>
      <c r="H252" s="438"/>
      <c r="I252" s="428"/>
      <c r="J252" s="431"/>
      <c r="K252" s="440"/>
      <c r="L252" s="289"/>
      <c r="M252" s="432"/>
      <c r="N252" s="428"/>
      <c r="O252" s="428"/>
      <c r="P252" s="289"/>
    </row>
    <row r="253" spans="1:16" s="282" customFormat="1" ht="20.2" customHeight="1" x14ac:dyDescent="0.4">
      <c r="A253" s="422"/>
      <c r="B253" s="442"/>
      <c r="C253" s="478"/>
      <c r="D253" s="437"/>
      <c r="E253" s="437"/>
      <c r="F253" s="437"/>
      <c r="G253" s="430"/>
      <c r="H253" s="438"/>
      <c r="I253" s="1177" t="s">
        <v>485</v>
      </c>
      <c r="J253" s="1177"/>
      <c r="K253" s="1177"/>
      <c r="L253" s="1177"/>
      <c r="M253" s="441"/>
      <c r="N253" s="440"/>
      <c r="O253" s="440"/>
      <c r="P253" s="289"/>
    </row>
    <row r="254" spans="1:16" s="282" customFormat="1" ht="20.2" customHeight="1" x14ac:dyDescent="0.4">
      <c r="A254" s="422"/>
      <c r="B254" s="442"/>
      <c r="C254" s="430"/>
      <c r="D254" s="437"/>
      <c r="E254" s="437"/>
      <c r="F254" s="437"/>
      <c r="G254" s="430"/>
      <c r="H254" s="438"/>
      <c r="I254" s="428" t="s">
        <v>477</v>
      </c>
      <c r="J254" s="431"/>
      <c r="K254" s="289"/>
      <c r="L254" s="289"/>
      <c r="M254" s="432"/>
      <c r="N254" s="428"/>
      <c r="O254" s="428"/>
      <c r="P254" s="289"/>
    </row>
    <row r="255" spans="1:16" s="282" customFormat="1" ht="20.2" customHeight="1" x14ac:dyDescent="0.4">
      <c r="A255" s="422"/>
      <c r="B255" s="442"/>
      <c r="C255" s="430"/>
      <c r="D255" s="437"/>
      <c r="E255" s="437"/>
      <c r="F255" s="437"/>
      <c r="G255" s="430"/>
      <c r="H255" s="438"/>
      <c r="I255" s="1176" t="s">
        <v>476</v>
      </c>
      <c r="J255" s="1176"/>
      <c r="K255" s="1176"/>
      <c r="L255" s="1176"/>
      <c r="M255" s="432"/>
      <c r="N255" s="428"/>
      <c r="O255" s="428"/>
      <c r="P255" s="289"/>
    </row>
    <row r="256" spans="1:16" s="282" customFormat="1" ht="20.2" customHeight="1" x14ac:dyDescent="0.4">
      <c r="A256" s="422"/>
      <c r="B256" s="442"/>
      <c r="C256" s="430"/>
      <c r="D256" s="437"/>
      <c r="E256" s="437"/>
      <c r="F256" s="437"/>
      <c r="G256" s="430"/>
      <c r="H256" s="438"/>
      <c r="I256" s="440"/>
      <c r="J256" s="431"/>
      <c r="K256" s="440"/>
      <c r="L256" s="289"/>
      <c r="M256" s="441"/>
      <c r="N256" s="440"/>
      <c r="O256" s="428"/>
      <c r="P256" s="289"/>
    </row>
    <row r="257" spans="1:16" s="282" customFormat="1" ht="13.5" customHeight="1" x14ac:dyDescent="0.4">
      <c r="A257" s="422"/>
      <c r="B257" s="442"/>
      <c r="C257" s="430"/>
      <c r="D257" s="437"/>
      <c r="E257" s="437"/>
      <c r="F257" s="437"/>
      <c r="G257" s="430"/>
      <c r="H257" s="438"/>
      <c r="I257" s="428"/>
      <c r="J257" s="431"/>
      <c r="K257" s="440"/>
      <c r="L257" s="289"/>
      <c r="M257" s="432"/>
      <c r="N257" s="428"/>
      <c r="O257" s="428"/>
      <c r="P257" s="289"/>
    </row>
    <row r="258" spans="1:16" s="282" customFormat="1" ht="20.2" customHeight="1" x14ac:dyDescent="0.4">
      <c r="A258" s="422"/>
      <c r="B258" s="442"/>
      <c r="C258" s="430"/>
      <c r="D258" s="437"/>
      <c r="E258" s="437"/>
      <c r="F258" s="437"/>
      <c r="G258" s="430"/>
      <c r="H258" s="438"/>
      <c r="I258" s="428"/>
      <c r="J258" s="431"/>
      <c r="K258" s="440"/>
      <c r="L258" s="289"/>
      <c r="M258" s="432"/>
      <c r="N258" s="428"/>
      <c r="O258" s="428"/>
      <c r="P258" s="289"/>
    </row>
    <row r="259" spans="1:16" s="282" customFormat="1" ht="19.5" customHeight="1" x14ac:dyDescent="0.4">
      <c r="A259" s="422"/>
      <c r="B259" s="442"/>
      <c r="C259" s="430"/>
      <c r="D259" s="437"/>
      <c r="E259" s="437"/>
      <c r="F259" s="437"/>
      <c r="G259" s="430"/>
      <c r="H259" s="438"/>
      <c r="I259" s="1177" t="s">
        <v>486</v>
      </c>
      <c r="J259" s="1177"/>
      <c r="K259" s="1177"/>
      <c r="L259" s="1177"/>
      <c r="M259" s="441"/>
      <c r="N259" s="440"/>
      <c r="O259" s="440"/>
      <c r="P259" s="289"/>
    </row>
    <row r="260" spans="1:16" s="282" customFormat="1" ht="20.2" customHeight="1" x14ac:dyDescent="0.4">
      <c r="A260" s="447"/>
      <c r="B260" s="448"/>
      <c r="C260" s="449"/>
      <c r="D260" s="450"/>
      <c r="E260" s="450"/>
      <c r="F260" s="450"/>
      <c r="G260" s="449"/>
      <c r="H260" s="469"/>
      <c r="I260" s="443" t="s">
        <v>483</v>
      </c>
      <c r="J260" s="444"/>
      <c r="K260" s="446"/>
      <c r="L260" s="446"/>
      <c r="M260" s="453"/>
      <c r="N260" s="428"/>
      <c r="O260" s="428"/>
      <c r="P260" s="289"/>
    </row>
    <row r="261" spans="1:16" s="465" customFormat="1" ht="30" customHeight="1" x14ac:dyDescent="0.4">
      <c r="A261" s="454" t="s">
        <v>432</v>
      </c>
      <c r="B261" s="455" t="s">
        <v>487</v>
      </c>
      <c r="C261" s="456"/>
      <c r="D261" s="457"/>
      <c r="E261" s="457"/>
      <c r="F261" s="457"/>
      <c r="G261" s="458"/>
      <c r="H261" s="458"/>
      <c r="I261" s="459"/>
      <c r="J261" s="460"/>
      <c r="K261" s="461"/>
      <c r="L261" s="461"/>
      <c r="M261" s="462"/>
      <c r="N261" s="463"/>
      <c r="O261" s="463"/>
      <c r="P261" s="464"/>
    </row>
    <row r="262" spans="1:16" s="282" customFormat="1" ht="18" customHeight="1" x14ac:dyDescent="0.4">
      <c r="A262" s="422"/>
      <c r="B262" s="429" t="s">
        <v>312</v>
      </c>
      <c r="C262" s="466" t="s">
        <v>479</v>
      </c>
      <c r="D262" s="437"/>
      <c r="E262" s="437"/>
      <c r="F262" s="437"/>
      <c r="G262" s="430"/>
      <c r="H262" s="438"/>
      <c r="I262" s="467"/>
      <c r="J262" s="431"/>
      <c r="K262" s="428"/>
      <c r="L262" s="428"/>
      <c r="M262" s="432"/>
      <c r="N262" s="428"/>
      <c r="O262" s="428"/>
      <c r="P262" s="289"/>
    </row>
    <row r="263" spans="1:16" s="282" customFormat="1" ht="18" customHeight="1" x14ac:dyDescent="0.4">
      <c r="A263" s="422"/>
      <c r="B263" s="429" t="s">
        <v>314</v>
      </c>
      <c r="C263" s="466" t="s">
        <v>479</v>
      </c>
      <c r="D263" s="437"/>
      <c r="E263" s="437"/>
      <c r="F263" s="437"/>
      <c r="G263" s="430"/>
      <c r="H263" s="438"/>
      <c r="I263" s="467"/>
      <c r="J263" s="431"/>
      <c r="K263" s="428"/>
      <c r="L263" s="428"/>
      <c r="M263" s="432"/>
      <c r="N263" s="428"/>
      <c r="O263" s="428"/>
      <c r="P263" s="289"/>
    </row>
    <row r="264" spans="1:16" s="282" customFormat="1" ht="18" customHeight="1" x14ac:dyDescent="0.4">
      <c r="A264" s="422"/>
      <c r="B264" s="429" t="s">
        <v>316</v>
      </c>
      <c r="C264" s="466" t="s">
        <v>479</v>
      </c>
      <c r="D264" s="437"/>
      <c r="E264" s="437"/>
      <c r="F264" s="437"/>
      <c r="G264" s="430"/>
      <c r="H264" s="438"/>
      <c r="I264" s="467"/>
      <c r="J264" s="431"/>
      <c r="K264" s="440"/>
      <c r="L264" s="428"/>
      <c r="M264" s="432"/>
      <c r="N264" s="428"/>
      <c r="O264" s="428"/>
      <c r="P264" s="289"/>
    </row>
    <row r="265" spans="1:16" s="282" customFormat="1" ht="18" customHeight="1" x14ac:dyDescent="0.4">
      <c r="A265" s="422"/>
      <c r="B265" s="429" t="s">
        <v>318</v>
      </c>
      <c r="C265" s="433" t="s">
        <v>480</v>
      </c>
      <c r="D265" s="437"/>
      <c r="E265" s="437"/>
      <c r="F265" s="437"/>
      <c r="G265" s="430"/>
      <c r="H265" s="438"/>
      <c r="I265" s="467"/>
      <c r="J265" s="431"/>
      <c r="K265" s="440"/>
      <c r="L265" s="428"/>
      <c r="M265" s="432"/>
      <c r="N265" s="428"/>
      <c r="O265" s="428"/>
      <c r="P265" s="289"/>
    </row>
    <row r="266" spans="1:16" s="282" customFormat="1" ht="18" customHeight="1" x14ac:dyDescent="0.4">
      <c r="A266" s="422"/>
      <c r="B266" s="442"/>
      <c r="C266" s="430"/>
      <c r="D266" s="437"/>
      <c r="E266" s="437"/>
      <c r="F266" s="437"/>
      <c r="G266" s="430"/>
      <c r="H266" s="438"/>
      <c r="I266" s="1178" t="s">
        <v>488</v>
      </c>
      <c r="J266" s="1178"/>
      <c r="K266" s="1178"/>
      <c r="L266" s="1178"/>
      <c r="M266" s="432"/>
      <c r="N266" s="428"/>
      <c r="O266" s="428"/>
      <c r="P266" s="289"/>
    </row>
    <row r="267" spans="1:16" s="282" customFormat="1" ht="18" customHeight="1" x14ac:dyDescent="0.4">
      <c r="A267" s="422"/>
      <c r="B267" s="442"/>
      <c r="C267" s="430"/>
      <c r="D267" s="437"/>
      <c r="E267" s="437"/>
      <c r="F267" s="437"/>
      <c r="G267" s="430"/>
      <c r="H267" s="438"/>
      <c r="I267" s="468"/>
      <c r="J267" s="431"/>
      <c r="K267" s="431"/>
      <c r="L267" s="289"/>
      <c r="M267" s="479"/>
      <c r="N267" s="468"/>
      <c r="O267" s="428"/>
      <c r="P267" s="289"/>
    </row>
    <row r="268" spans="1:16" s="282" customFormat="1" ht="18" customHeight="1" x14ac:dyDescent="0.4">
      <c r="A268" s="422"/>
      <c r="B268" s="442"/>
      <c r="C268" s="430"/>
      <c r="D268" s="437"/>
      <c r="E268" s="437"/>
      <c r="F268" s="437"/>
      <c r="G268" s="430"/>
      <c r="H268" s="438"/>
      <c r="I268" s="428"/>
      <c r="J268" s="431"/>
      <c r="K268" s="440"/>
      <c r="L268" s="289"/>
      <c r="M268" s="432"/>
      <c r="N268" s="428"/>
      <c r="O268" s="428"/>
      <c r="P268" s="289"/>
    </row>
    <row r="269" spans="1:16" s="282" customFormat="1" ht="18" customHeight="1" x14ac:dyDescent="0.4">
      <c r="A269" s="422"/>
      <c r="B269" s="442"/>
      <c r="C269" s="430"/>
      <c r="D269" s="437"/>
      <c r="E269" s="437"/>
      <c r="F269" s="437"/>
      <c r="G269" s="430"/>
      <c r="H269" s="438"/>
      <c r="I269" s="1177" t="s">
        <v>489</v>
      </c>
      <c r="J269" s="1177"/>
      <c r="K269" s="1177"/>
      <c r="L269" s="1177"/>
      <c r="M269" s="441"/>
      <c r="N269" s="440"/>
      <c r="O269" s="440"/>
      <c r="P269" s="289"/>
    </row>
    <row r="270" spans="1:16" s="282" customFormat="1" ht="18" customHeight="1" x14ac:dyDescent="0.4">
      <c r="A270" s="422"/>
      <c r="B270" s="442"/>
      <c r="C270" s="430"/>
      <c r="D270" s="437"/>
      <c r="E270" s="437"/>
      <c r="F270" s="437"/>
      <c r="G270" s="430"/>
      <c r="H270" s="438"/>
      <c r="I270" s="428" t="s">
        <v>490</v>
      </c>
      <c r="J270" s="431"/>
      <c r="K270" s="289"/>
      <c r="L270" s="289"/>
      <c r="M270" s="432"/>
      <c r="N270" s="428"/>
      <c r="O270" s="428"/>
      <c r="P270" s="289"/>
    </row>
    <row r="271" spans="1:16" s="282" customFormat="1" ht="18" customHeight="1" x14ac:dyDescent="0.4">
      <c r="A271" s="480"/>
      <c r="B271" s="430"/>
      <c r="C271" s="430"/>
      <c r="D271" s="437"/>
      <c r="E271" s="437"/>
      <c r="F271" s="437"/>
      <c r="G271" s="430"/>
      <c r="H271" s="438"/>
      <c r="I271" s="428"/>
      <c r="J271" s="431"/>
      <c r="K271" s="289"/>
      <c r="L271" s="289"/>
      <c r="M271" s="432"/>
      <c r="N271" s="428"/>
      <c r="O271" s="428"/>
      <c r="P271" s="289"/>
    </row>
    <row r="272" spans="1:16" s="282" customFormat="1" ht="18" customHeight="1" x14ac:dyDescent="0.4">
      <c r="A272" s="480"/>
      <c r="B272" s="430"/>
      <c r="C272" s="430"/>
      <c r="D272" s="437"/>
      <c r="E272" s="437"/>
      <c r="F272" s="437"/>
      <c r="G272" s="430"/>
      <c r="H272" s="438"/>
      <c r="I272" s="428"/>
      <c r="J272" s="431"/>
      <c r="K272" s="289"/>
      <c r="L272" s="289"/>
      <c r="M272" s="432"/>
      <c r="N272" s="428"/>
      <c r="O272" s="428"/>
      <c r="P272" s="289"/>
    </row>
    <row r="273" spans="1:16" s="282" customFormat="1" ht="20.2" customHeight="1" x14ac:dyDescent="0.4">
      <c r="A273" s="481"/>
      <c r="B273" s="469"/>
      <c r="C273" s="449"/>
      <c r="D273" s="450"/>
      <c r="E273" s="450"/>
      <c r="F273" s="450"/>
      <c r="G273" s="449"/>
      <c r="H273" s="469"/>
      <c r="I273" s="452"/>
      <c r="J273" s="444"/>
      <c r="K273" s="446"/>
      <c r="L273" s="443"/>
      <c r="M273" s="453"/>
      <c r="N273" s="428"/>
      <c r="O273" s="428"/>
      <c r="P273" s="289"/>
    </row>
    <row r="274" spans="1:16" ht="25.05" customHeight="1" x14ac:dyDescent="0.4">
      <c r="C274" s="274"/>
      <c r="D274" s="319"/>
      <c r="E274" s="319"/>
      <c r="F274" s="319"/>
    </row>
    <row r="275" spans="1:16" ht="25.05" customHeight="1" x14ac:dyDescent="0.4">
      <c r="C275" s="274"/>
      <c r="D275" s="319"/>
      <c r="E275" s="319"/>
      <c r="F275" s="319"/>
    </row>
    <row r="276" spans="1:16" ht="25.05" customHeight="1" x14ac:dyDescent="0.4">
      <c r="C276" s="274"/>
      <c r="D276" s="319"/>
      <c r="E276" s="319"/>
      <c r="F276" s="319"/>
    </row>
    <row r="277" spans="1:16" ht="25.05" customHeight="1" x14ac:dyDescent="0.4">
      <c r="C277" s="274"/>
      <c r="D277" s="319"/>
      <c r="E277" s="319"/>
      <c r="F277" s="319"/>
    </row>
    <row r="278" spans="1:16" ht="25.05" customHeight="1" x14ac:dyDescent="0.4">
      <c r="C278" s="274"/>
      <c r="D278" s="319"/>
      <c r="E278" s="319"/>
      <c r="F278" s="319"/>
    </row>
    <row r="279" spans="1:16" ht="25.05" customHeight="1" x14ac:dyDescent="0.4">
      <c r="C279" s="274"/>
      <c r="D279" s="319"/>
      <c r="E279" s="319"/>
      <c r="F279" s="319"/>
    </row>
    <row r="280" spans="1:16" ht="25.05" customHeight="1" x14ac:dyDescent="0.4">
      <c r="C280" s="274"/>
      <c r="D280" s="319"/>
      <c r="E280" s="319"/>
      <c r="F280" s="319"/>
    </row>
    <row r="281" spans="1:16" ht="25.05" customHeight="1" x14ac:dyDescent="0.4">
      <c r="C281" s="274"/>
      <c r="D281" s="319"/>
      <c r="E281" s="319"/>
      <c r="F281" s="319"/>
    </row>
    <row r="282" spans="1:16" ht="25.05" customHeight="1" x14ac:dyDescent="0.4">
      <c r="C282" s="274"/>
      <c r="D282" s="319"/>
      <c r="E282" s="319"/>
      <c r="F282" s="319"/>
    </row>
    <row r="283" spans="1:16" ht="25.05" customHeight="1" x14ac:dyDescent="0.4">
      <c r="C283" s="274"/>
      <c r="D283" s="319"/>
      <c r="E283" s="319"/>
      <c r="F283" s="319"/>
    </row>
    <row r="284" spans="1:16" ht="25.05" customHeight="1" x14ac:dyDescent="0.4">
      <c r="C284" s="274"/>
      <c r="D284" s="319"/>
      <c r="E284" s="319"/>
      <c r="F284" s="319"/>
    </row>
    <row r="285" spans="1:16" ht="25.05" customHeight="1" x14ac:dyDescent="0.4">
      <c r="C285" s="274"/>
      <c r="D285" s="319"/>
      <c r="E285" s="319"/>
      <c r="F285" s="319"/>
    </row>
    <row r="286" spans="1:16" ht="25.05" customHeight="1" x14ac:dyDescent="0.4">
      <c r="C286" s="274"/>
      <c r="D286" s="319"/>
      <c r="E286" s="319"/>
      <c r="F286" s="319"/>
    </row>
    <row r="287" spans="1:16" ht="25.05" customHeight="1" x14ac:dyDescent="0.4">
      <c r="C287" s="274"/>
      <c r="D287" s="319"/>
      <c r="E287" s="319"/>
      <c r="F287" s="319"/>
    </row>
    <row r="288" spans="1:16" ht="25.05" customHeight="1" x14ac:dyDescent="0.4">
      <c r="C288" s="274"/>
      <c r="D288" s="319"/>
      <c r="E288" s="319"/>
      <c r="F288" s="319"/>
    </row>
    <row r="289" spans="3:6" ht="25.05" customHeight="1" x14ac:dyDescent="0.4">
      <c r="C289" s="274"/>
      <c r="D289" s="319"/>
      <c r="E289" s="319"/>
      <c r="F289" s="319"/>
    </row>
    <row r="290" spans="3:6" ht="25.05" customHeight="1" x14ac:dyDescent="0.4">
      <c r="C290" s="274"/>
      <c r="D290" s="319"/>
      <c r="E290" s="319"/>
      <c r="F290" s="319"/>
    </row>
    <row r="291" spans="3:6" ht="25.05" customHeight="1" x14ac:dyDescent="0.4">
      <c r="C291" s="274"/>
      <c r="D291" s="319"/>
      <c r="E291" s="319"/>
      <c r="F291" s="319"/>
    </row>
    <row r="292" spans="3:6" ht="25.05" customHeight="1" x14ac:dyDescent="0.4">
      <c r="C292" s="274"/>
      <c r="D292" s="319"/>
      <c r="E292" s="319"/>
      <c r="F292" s="319"/>
    </row>
    <row r="293" spans="3:6" ht="25.05" customHeight="1" x14ac:dyDescent="0.4">
      <c r="C293" s="274"/>
      <c r="D293" s="319"/>
      <c r="E293" s="319"/>
      <c r="F293" s="319"/>
    </row>
    <row r="294" spans="3:6" ht="25.05" customHeight="1" x14ac:dyDescent="0.4">
      <c r="C294" s="274"/>
      <c r="D294" s="319"/>
      <c r="E294" s="319"/>
      <c r="F294" s="319"/>
    </row>
    <row r="295" spans="3:6" ht="25.05" customHeight="1" x14ac:dyDescent="0.4">
      <c r="C295" s="274"/>
      <c r="D295" s="319"/>
      <c r="E295" s="319"/>
      <c r="F295" s="319"/>
    </row>
    <row r="296" spans="3:6" ht="25.05" customHeight="1" x14ac:dyDescent="0.4">
      <c r="C296" s="274"/>
      <c r="D296" s="319"/>
      <c r="E296" s="319"/>
      <c r="F296" s="319"/>
    </row>
    <row r="297" spans="3:6" ht="25.05" customHeight="1" x14ac:dyDescent="0.4">
      <c r="C297" s="274"/>
      <c r="D297" s="319"/>
      <c r="E297" s="319"/>
      <c r="F297" s="319"/>
    </row>
    <row r="298" spans="3:6" ht="25.05" customHeight="1" x14ac:dyDescent="0.4">
      <c r="C298" s="274"/>
      <c r="D298" s="319"/>
      <c r="E298" s="319"/>
      <c r="F298" s="319"/>
    </row>
    <row r="299" spans="3:6" ht="25.05" customHeight="1" x14ac:dyDescent="0.4">
      <c r="C299" s="274"/>
      <c r="D299" s="319"/>
      <c r="E299" s="319"/>
      <c r="F299" s="319"/>
    </row>
    <row r="300" spans="3:6" ht="25.05" customHeight="1" x14ac:dyDescent="0.4">
      <c r="C300" s="274"/>
      <c r="D300" s="319"/>
      <c r="E300" s="319"/>
      <c r="F300" s="319"/>
    </row>
    <row r="301" spans="3:6" ht="25.05" customHeight="1" x14ac:dyDescent="0.4">
      <c r="C301" s="274"/>
      <c r="D301" s="319"/>
      <c r="E301" s="319"/>
      <c r="F301" s="319"/>
    </row>
    <row r="302" spans="3:6" ht="25.05" customHeight="1" x14ac:dyDescent="0.4">
      <c r="C302" s="274"/>
      <c r="D302" s="319"/>
      <c r="E302" s="319"/>
      <c r="F302" s="319"/>
    </row>
    <row r="303" spans="3:6" ht="25.05" customHeight="1" x14ac:dyDescent="0.4">
      <c r="C303" s="274"/>
      <c r="D303" s="319"/>
      <c r="E303" s="319"/>
      <c r="F303" s="319"/>
    </row>
    <row r="304" spans="3:6" ht="25.05" customHeight="1" x14ac:dyDescent="0.4">
      <c r="C304" s="274"/>
      <c r="D304" s="319"/>
      <c r="E304" s="319"/>
      <c r="F304" s="319"/>
    </row>
    <row r="305" spans="3:6" ht="25.05" customHeight="1" x14ac:dyDescent="0.4">
      <c r="C305" s="274"/>
      <c r="D305" s="319"/>
      <c r="E305" s="319"/>
      <c r="F305" s="319"/>
    </row>
    <row r="306" spans="3:6" ht="25.05" customHeight="1" x14ac:dyDescent="0.4">
      <c r="C306" s="274"/>
      <c r="D306" s="319"/>
      <c r="E306" s="319"/>
      <c r="F306" s="319"/>
    </row>
    <row r="307" spans="3:6" ht="25.05" customHeight="1" x14ac:dyDescent="0.4">
      <c r="C307" s="274"/>
      <c r="D307" s="319"/>
      <c r="E307" s="319"/>
      <c r="F307" s="319"/>
    </row>
    <row r="308" spans="3:6" ht="25.05" customHeight="1" x14ac:dyDescent="0.4">
      <c r="C308" s="274"/>
      <c r="D308" s="319"/>
      <c r="E308" s="319"/>
      <c r="F308" s="319"/>
    </row>
    <row r="309" spans="3:6" ht="25.05" customHeight="1" x14ac:dyDescent="0.4">
      <c r="C309" s="274"/>
      <c r="D309" s="319"/>
      <c r="E309" s="319"/>
      <c r="F309" s="319"/>
    </row>
    <row r="310" spans="3:6" ht="25.05" customHeight="1" x14ac:dyDescent="0.4">
      <c r="C310" s="274"/>
      <c r="D310" s="319"/>
      <c r="E310" s="319"/>
      <c r="F310" s="319"/>
    </row>
    <row r="311" spans="3:6" ht="25.05" customHeight="1" x14ac:dyDescent="0.4">
      <c r="C311" s="274"/>
      <c r="D311" s="319"/>
      <c r="E311" s="319"/>
      <c r="F311" s="319"/>
    </row>
    <row r="312" spans="3:6" ht="25.05" customHeight="1" x14ac:dyDescent="0.4">
      <c r="C312" s="274"/>
      <c r="D312" s="319"/>
      <c r="E312" s="319"/>
      <c r="F312" s="319"/>
    </row>
    <row r="313" spans="3:6" ht="25.05" customHeight="1" x14ac:dyDescent="0.4">
      <c r="C313" s="274"/>
      <c r="D313" s="319"/>
      <c r="E313" s="319"/>
      <c r="F313" s="319"/>
    </row>
    <row r="314" spans="3:6" ht="25.05" customHeight="1" x14ac:dyDescent="0.4">
      <c r="C314" s="274"/>
      <c r="D314" s="319"/>
      <c r="E314" s="319"/>
      <c r="F314" s="319"/>
    </row>
    <row r="315" spans="3:6" ht="25.05" customHeight="1" x14ac:dyDescent="0.4">
      <c r="C315" s="274"/>
      <c r="D315" s="319"/>
      <c r="E315" s="319"/>
      <c r="F315" s="319"/>
    </row>
    <row r="316" spans="3:6" ht="25.05" customHeight="1" x14ac:dyDescent="0.4">
      <c r="C316" s="274"/>
      <c r="D316" s="319"/>
      <c r="E316" s="319"/>
      <c r="F316" s="319"/>
    </row>
    <row r="317" spans="3:6" ht="25.05" customHeight="1" x14ac:dyDescent="0.4">
      <c r="C317" s="274"/>
      <c r="D317" s="319"/>
      <c r="E317" s="319"/>
      <c r="F317" s="319"/>
    </row>
    <row r="318" spans="3:6" ht="25.05" customHeight="1" x14ac:dyDescent="0.4">
      <c r="C318" s="274"/>
      <c r="D318" s="319"/>
      <c r="E318" s="319"/>
      <c r="F318" s="319"/>
    </row>
    <row r="319" spans="3:6" ht="25.05" customHeight="1" x14ac:dyDescent="0.4">
      <c r="C319" s="274"/>
      <c r="D319" s="319"/>
      <c r="E319" s="319"/>
      <c r="F319" s="319"/>
    </row>
    <row r="320" spans="3:6" ht="25.05" customHeight="1" x14ac:dyDescent="0.4">
      <c r="C320" s="274"/>
      <c r="D320" s="319"/>
      <c r="E320" s="319"/>
      <c r="F320" s="319"/>
    </row>
    <row r="321" spans="3:6" ht="25.05" customHeight="1" x14ac:dyDescent="0.4">
      <c r="C321" s="274"/>
      <c r="D321" s="319"/>
      <c r="E321" s="319"/>
      <c r="F321" s="319"/>
    </row>
    <row r="322" spans="3:6" ht="25.05" customHeight="1" x14ac:dyDescent="0.4">
      <c r="C322" s="274"/>
      <c r="D322" s="319"/>
      <c r="E322" s="319"/>
      <c r="F322" s="319"/>
    </row>
    <row r="323" spans="3:6" ht="25.05" customHeight="1" x14ac:dyDescent="0.4">
      <c r="C323" s="274"/>
      <c r="D323" s="319"/>
      <c r="E323" s="319"/>
      <c r="F323" s="319"/>
    </row>
    <row r="324" spans="3:6" ht="25.05" customHeight="1" x14ac:dyDescent="0.4">
      <c r="C324" s="274"/>
      <c r="D324" s="319"/>
      <c r="E324" s="319"/>
      <c r="F324" s="319"/>
    </row>
    <row r="325" spans="3:6" ht="25.05" customHeight="1" x14ac:dyDescent="0.4">
      <c r="C325" s="274"/>
      <c r="D325" s="319"/>
      <c r="E325" s="319"/>
      <c r="F325" s="319"/>
    </row>
    <row r="326" spans="3:6" ht="25.05" customHeight="1" x14ac:dyDescent="0.4">
      <c r="C326" s="274"/>
      <c r="D326" s="319"/>
      <c r="E326" s="319"/>
      <c r="F326" s="319"/>
    </row>
    <row r="327" spans="3:6" ht="25.05" customHeight="1" x14ac:dyDescent="0.4">
      <c r="C327" s="274"/>
      <c r="D327" s="319"/>
      <c r="E327" s="319"/>
      <c r="F327" s="319"/>
    </row>
    <row r="328" spans="3:6" ht="25.05" customHeight="1" x14ac:dyDescent="0.4">
      <c r="C328" s="274"/>
      <c r="D328" s="319"/>
      <c r="E328" s="319"/>
      <c r="F328" s="319"/>
    </row>
    <row r="329" spans="3:6" ht="25.05" customHeight="1" x14ac:dyDescent="0.4">
      <c r="C329" s="274"/>
      <c r="D329" s="319"/>
      <c r="E329" s="319"/>
      <c r="F329" s="319"/>
    </row>
    <row r="330" spans="3:6" ht="25.05" customHeight="1" x14ac:dyDescent="0.4">
      <c r="C330" s="274"/>
      <c r="D330" s="319"/>
      <c r="E330" s="319"/>
      <c r="F330" s="319"/>
    </row>
    <row r="331" spans="3:6" ht="25.05" customHeight="1" x14ac:dyDescent="0.4">
      <c r="C331" s="274"/>
      <c r="D331" s="319"/>
      <c r="E331" s="319"/>
      <c r="F331" s="319"/>
    </row>
    <row r="332" spans="3:6" ht="25.05" customHeight="1" x14ac:dyDescent="0.4">
      <c r="C332" s="274"/>
      <c r="D332" s="319"/>
      <c r="E332" s="319"/>
      <c r="F332" s="319"/>
    </row>
    <row r="333" spans="3:6" ht="25.05" customHeight="1" x14ac:dyDescent="0.4">
      <c r="C333" s="274"/>
      <c r="D333" s="319"/>
      <c r="E333" s="319"/>
      <c r="F333" s="319"/>
    </row>
    <row r="334" spans="3:6" ht="25.05" customHeight="1" x14ac:dyDescent="0.4">
      <c r="C334" s="274"/>
      <c r="D334" s="319"/>
      <c r="E334" s="319"/>
      <c r="F334" s="319"/>
    </row>
    <row r="335" spans="3:6" ht="25.05" customHeight="1" x14ac:dyDescent="0.4">
      <c r="C335" s="274"/>
      <c r="D335" s="319"/>
      <c r="E335" s="319"/>
      <c r="F335" s="319"/>
    </row>
    <row r="336" spans="3:6" ht="25.05" customHeight="1" x14ac:dyDescent="0.4">
      <c r="C336" s="274"/>
      <c r="D336" s="319"/>
      <c r="E336" s="319"/>
      <c r="F336" s="319"/>
    </row>
    <row r="337" spans="3:6" ht="25.05" customHeight="1" x14ac:dyDescent="0.4">
      <c r="C337" s="274"/>
      <c r="D337" s="319"/>
      <c r="E337" s="319"/>
      <c r="F337" s="319"/>
    </row>
    <row r="338" spans="3:6" ht="25.05" customHeight="1" x14ac:dyDescent="0.4">
      <c r="C338" s="274"/>
      <c r="D338" s="319"/>
      <c r="E338" s="319"/>
      <c r="F338" s="319"/>
    </row>
    <row r="339" spans="3:6" ht="25.05" customHeight="1" x14ac:dyDescent="0.4">
      <c r="C339" s="274"/>
      <c r="D339" s="319"/>
      <c r="E339" s="319"/>
      <c r="F339" s="319"/>
    </row>
    <row r="340" spans="3:6" ht="25.05" customHeight="1" x14ac:dyDescent="0.4">
      <c r="C340" s="274"/>
      <c r="D340" s="319"/>
      <c r="E340" s="319"/>
      <c r="F340" s="319"/>
    </row>
    <row r="341" spans="3:6" ht="25.05" customHeight="1" x14ac:dyDescent="0.4">
      <c r="C341" s="274"/>
      <c r="D341" s="319"/>
      <c r="E341" s="319"/>
      <c r="F341" s="319"/>
    </row>
    <row r="342" spans="3:6" ht="25.05" customHeight="1" x14ac:dyDescent="0.4">
      <c r="C342" s="274"/>
      <c r="D342" s="319"/>
      <c r="E342" s="319"/>
      <c r="F342" s="319"/>
    </row>
    <row r="343" spans="3:6" ht="25.05" customHeight="1" x14ac:dyDescent="0.4">
      <c r="C343" s="274"/>
      <c r="D343" s="319"/>
      <c r="E343" s="319"/>
      <c r="F343" s="319"/>
    </row>
    <row r="344" spans="3:6" ht="25.05" customHeight="1" x14ac:dyDescent="0.4">
      <c r="C344" s="274"/>
      <c r="D344" s="319"/>
      <c r="E344" s="319"/>
      <c r="F344" s="319"/>
    </row>
    <row r="345" spans="3:6" ht="25.05" customHeight="1" x14ac:dyDescent="0.4">
      <c r="C345" s="274"/>
      <c r="D345" s="319"/>
      <c r="E345" s="319"/>
      <c r="F345" s="319"/>
    </row>
    <row r="346" spans="3:6" ht="25.05" customHeight="1" x14ac:dyDescent="0.4">
      <c r="C346" s="274"/>
      <c r="D346" s="319"/>
      <c r="E346" s="319"/>
      <c r="F346" s="319"/>
    </row>
    <row r="347" spans="3:6" ht="25.05" customHeight="1" x14ac:dyDescent="0.4">
      <c r="C347" s="274"/>
      <c r="D347" s="319"/>
      <c r="E347" s="319"/>
      <c r="F347" s="319"/>
    </row>
    <row r="348" spans="3:6" ht="25.05" customHeight="1" x14ac:dyDescent="0.4">
      <c r="C348" s="274"/>
      <c r="D348" s="319"/>
      <c r="E348" s="319"/>
      <c r="F348" s="319"/>
    </row>
    <row r="349" spans="3:6" ht="25.05" customHeight="1" x14ac:dyDescent="0.4">
      <c r="C349" s="274"/>
      <c r="D349" s="319"/>
      <c r="E349" s="319"/>
      <c r="F349" s="319"/>
    </row>
    <row r="350" spans="3:6" ht="25.05" customHeight="1" x14ac:dyDescent="0.4">
      <c r="C350" s="274"/>
      <c r="D350" s="319"/>
      <c r="E350" s="319"/>
      <c r="F350" s="319"/>
    </row>
    <row r="351" spans="3:6" ht="25.05" customHeight="1" x14ac:dyDescent="0.4">
      <c r="C351" s="274"/>
      <c r="D351" s="319"/>
      <c r="E351" s="319"/>
      <c r="F351" s="319"/>
    </row>
    <row r="352" spans="3:6" ht="25.05" customHeight="1" x14ac:dyDescent="0.4">
      <c r="C352" s="274"/>
      <c r="D352" s="319"/>
      <c r="E352" s="319"/>
      <c r="F352" s="319"/>
    </row>
    <row r="353" spans="3:6" ht="25.05" customHeight="1" x14ac:dyDescent="0.4">
      <c r="C353" s="274"/>
      <c r="D353" s="319"/>
      <c r="E353" s="319"/>
      <c r="F353" s="319"/>
    </row>
    <row r="354" spans="3:6" ht="25.05" customHeight="1" x14ac:dyDescent="0.4">
      <c r="C354" s="274"/>
      <c r="D354" s="319"/>
      <c r="E354" s="319"/>
      <c r="F354" s="319"/>
    </row>
    <row r="355" spans="3:6" ht="25.05" customHeight="1" x14ac:dyDescent="0.4">
      <c r="C355" s="274"/>
      <c r="D355" s="319"/>
      <c r="E355" s="319"/>
      <c r="F355" s="319"/>
    </row>
    <row r="356" spans="3:6" ht="25.05" customHeight="1" x14ac:dyDescent="0.4">
      <c r="C356" s="274"/>
      <c r="D356" s="319"/>
      <c r="E356" s="319"/>
      <c r="F356" s="319"/>
    </row>
    <row r="357" spans="3:6" ht="25.05" customHeight="1" x14ac:dyDescent="0.4">
      <c r="C357" s="274"/>
      <c r="D357" s="319"/>
      <c r="E357" s="319"/>
      <c r="F357" s="319"/>
    </row>
    <row r="358" spans="3:6" ht="25.05" customHeight="1" x14ac:dyDescent="0.4">
      <c r="C358" s="274"/>
      <c r="D358" s="319"/>
      <c r="E358" s="319"/>
      <c r="F358" s="319"/>
    </row>
    <row r="359" spans="3:6" ht="25.05" customHeight="1" x14ac:dyDescent="0.4">
      <c r="C359" s="274"/>
      <c r="D359" s="319"/>
      <c r="E359" s="319"/>
      <c r="F359" s="319"/>
    </row>
    <row r="360" spans="3:6" ht="25.05" customHeight="1" x14ac:dyDescent="0.4">
      <c r="C360" s="274"/>
      <c r="D360" s="319"/>
      <c r="E360" s="319"/>
      <c r="F360" s="319"/>
    </row>
    <row r="361" spans="3:6" ht="25.05" customHeight="1" x14ac:dyDescent="0.4">
      <c r="C361" s="274"/>
      <c r="D361" s="319"/>
      <c r="E361" s="319"/>
      <c r="F361" s="319"/>
    </row>
    <row r="362" spans="3:6" ht="25.05" customHeight="1" x14ac:dyDescent="0.4">
      <c r="C362" s="274"/>
      <c r="D362" s="319"/>
      <c r="E362" s="319"/>
      <c r="F362" s="319"/>
    </row>
    <row r="363" spans="3:6" ht="25.05" customHeight="1" x14ac:dyDescent="0.4">
      <c r="C363" s="274"/>
      <c r="D363" s="319"/>
      <c r="E363" s="319"/>
      <c r="F363" s="319"/>
    </row>
    <row r="364" spans="3:6" ht="25.05" customHeight="1" x14ac:dyDescent="0.4">
      <c r="C364" s="274"/>
      <c r="D364" s="319"/>
      <c r="E364" s="319"/>
      <c r="F364" s="319"/>
    </row>
    <row r="365" spans="3:6" ht="25.05" customHeight="1" x14ac:dyDescent="0.4">
      <c r="C365" s="274"/>
      <c r="D365" s="319"/>
      <c r="E365" s="319"/>
      <c r="F365" s="319"/>
    </row>
    <row r="366" spans="3:6" ht="25.05" customHeight="1" x14ac:dyDescent="0.4">
      <c r="C366" s="274"/>
      <c r="D366" s="319"/>
      <c r="E366" s="319"/>
      <c r="F366" s="319"/>
    </row>
    <row r="367" spans="3:6" ht="25.05" customHeight="1" x14ac:dyDescent="0.4">
      <c r="C367" s="274"/>
      <c r="D367" s="319"/>
      <c r="E367" s="319"/>
      <c r="F367" s="319"/>
    </row>
    <row r="368" spans="3:6" ht="25.05" customHeight="1" x14ac:dyDescent="0.4">
      <c r="C368" s="274"/>
      <c r="D368" s="319"/>
      <c r="E368" s="319"/>
      <c r="F368" s="319"/>
    </row>
    <row r="369" spans="3:6" ht="25.05" customHeight="1" x14ac:dyDescent="0.4">
      <c r="C369" s="274"/>
      <c r="D369" s="319"/>
      <c r="E369" s="319"/>
      <c r="F369" s="319"/>
    </row>
    <row r="370" spans="3:6" ht="25.05" customHeight="1" x14ac:dyDescent="0.4">
      <c r="C370" s="274"/>
      <c r="D370" s="319"/>
      <c r="E370" s="319"/>
      <c r="F370" s="319"/>
    </row>
    <row r="371" spans="3:6" ht="25.05" customHeight="1" x14ac:dyDescent="0.4">
      <c r="C371" s="274"/>
      <c r="D371" s="319"/>
      <c r="E371" s="319"/>
      <c r="F371" s="319"/>
    </row>
    <row r="372" spans="3:6" ht="25.05" customHeight="1" x14ac:dyDescent="0.4">
      <c r="C372" s="274"/>
      <c r="D372" s="319"/>
      <c r="E372" s="319"/>
      <c r="F372" s="319"/>
    </row>
    <row r="373" spans="3:6" ht="25.05" customHeight="1" x14ac:dyDescent="0.4">
      <c r="C373" s="274"/>
      <c r="D373" s="319"/>
      <c r="E373" s="319"/>
      <c r="F373" s="319"/>
    </row>
    <row r="374" spans="3:6" ht="25.05" customHeight="1" x14ac:dyDescent="0.4">
      <c r="C374" s="274"/>
      <c r="D374" s="319"/>
      <c r="E374" s="319"/>
      <c r="F374" s="319"/>
    </row>
    <row r="375" spans="3:6" ht="25.05" customHeight="1" x14ac:dyDescent="0.4">
      <c r="C375" s="274"/>
      <c r="D375" s="319"/>
      <c r="E375" s="319"/>
      <c r="F375" s="319"/>
    </row>
    <row r="376" spans="3:6" ht="25.05" customHeight="1" x14ac:dyDescent="0.4">
      <c r="C376" s="274"/>
      <c r="D376" s="319"/>
      <c r="E376" s="319"/>
      <c r="F376" s="319"/>
    </row>
    <row r="377" spans="3:6" ht="25.05" customHeight="1" x14ac:dyDescent="0.4">
      <c r="C377" s="274"/>
      <c r="D377" s="319"/>
      <c r="E377" s="319"/>
      <c r="F377" s="319"/>
    </row>
    <row r="378" spans="3:6" ht="25.05" customHeight="1" x14ac:dyDescent="0.4">
      <c r="C378" s="274"/>
      <c r="D378" s="319"/>
      <c r="E378" s="319"/>
      <c r="F378" s="319"/>
    </row>
    <row r="379" spans="3:6" ht="25.05" customHeight="1" x14ac:dyDescent="0.4">
      <c r="C379" s="274"/>
      <c r="D379" s="319"/>
      <c r="E379" s="319"/>
      <c r="F379" s="319"/>
    </row>
    <row r="380" spans="3:6" ht="25.05" customHeight="1" x14ac:dyDescent="0.4">
      <c r="C380" s="274"/>
      <c r="D380" s="319"/>
      <c r="E380" s="319"/>
      <c r="F380" s="319"/>
    </row>
    <row r="381" spans="3:6" ht="25.05" customHeight="1" x14ac:dyDescent="0.4">
      <c r="C381" s="274"/>
      <c r="D381" s="319"/>
      <c r="E381" s="319"/>
      <c r="F381" s="319"/>
    </row>
    <row r="382" spans="3:6" ht="25.05" customHeight="1" x14ac:dyDescent="0.4">
      <c r="C382" s="274"/>
      <c r="D382" s="319"/>
      <c r="E382" s="319"/>
      <c r="F382" s="319"/>
    </row>
    <row r="383" spans="3:6" ht="25.05" customHeight="1" x14ac:dyDescent="0.4">
      <c r="C383" s="274"/>
      <c r="D383" s="319"/>
      <c r="E383" s="319"/>
      <c r="F383" s="319"/>
    </row>
    <row r="384" spans="3:6" ht="25.05" customHeight="1" x14ac:dyDescent="0.4">
      <c r="C384" s="274"/>
      <c r="D384" s="319"/>
      <c r="E384" s="319"/>
      <c r="F384" s="319"/>
    </row>
    <row r="385" spans="3:6" ht="25.05" customHeight="1" x14ac:dyDescent="0.4">
      <c r="C385" s="274"/>
      <c r="D385" s="319"/>
      <c r="E385" s="319"/>
      <c r="F385" s="319"/>
    </row>
    <row r="386" spans="3:6" ht="25.05" customHeight="1" x14ac:dyDescent="0.4">
      <c r="C386" s="274"/>
      <c r="D386" s="319"/>
      <c r="E386" s="319"/>
      <c r="F386" s="319"/>
    </row>
    <row r="387" spans="3:6" ht="25.05" customHeight="1" x14ac:dyDescent="0.4">
      <c r="C387" s="274"/>
      <c r="D387" s="319"/>
      <c r="E387" s="319"/>
      <c r="F387" s="319"/>
    </row>
    <row r="388" spans="3:6" ht="25.05" customHeight="1" x14ac:dyDescent="0.4">
      <c r="C388" s="274"/>
      <c r="D388" s="319"/>
      <c r="E388" s="319"/>
      <c r="F388" s="319"/>
    </row>
    <row r="389" spans="3:6" ht="25.05" customHeight="1" x14ac:dyDescent="0.4">
      <c r="C389" s="274"/>
      <c r="D389" s="319"/>
      <c r="E389" s="319"/>
      <c r="F389" s="319"/>
    </row>
    <row r="390" spans="3:6" ht="25.05" customHeight="1" x14ac:dyDescent="0.4">
      <c r="C390" s="274"/>
      <c r="D390" s="319"/>
      <c r="E390" s="319"/>
      <c r="F390" s="319"/>
    </row>
    <row r="391" spans="3:6" ht="25.05" customHeight="1" x14ac:dyDescent="0.4">
      <c r="C391" s="274"/>
      <c r="D391" s="319"/>
      <c r="E391" s="319"/>
      <c r="F391" s="319"/>
    </row>
    <row r="392" spans="3:6" ht="25.05" customHeight="1" x14ac:dyDescent="0.4">
      <c r="C392" s="274"/>
      <c r="D392" s="319"/>
      <c r="E392" s="319"/>
      <c r="F392" s="319"/>
    </row>
    <row r="393" spans="3:6" ht="25.05" customHeight="1" x14ac:dyDescent="0.4">
      <c r="C393" s="274"/>
      <c r="D393" s="319"/>
      <c r="E393" s="319"/>
      <c r="F393" s="319"/>
    </row>
    <row r="394" spans="3:6" ht="25.05" customHeight="1" x14ac:dyDescent="0.4">
      <c r="C394" s="274"/>
      <c r="D394" s="319"/>
      <c r="E394" s="319"/>
      <c r="F394" s="319"/>
    </row>
    <row r="395" spans="3:6" ht="25.05" customHeight="1" x14ac:dyDescent="0.4">
      <c r="C395" s="274"/>
      <c r="D395" s="319"/>
      <c r="E395" s="319"/>
      <c r="F395" s="319"/>
    </row>
    <row r="396" spans="3:6" ht="25.05" customHeight="1" x14ac:dyDescent="0.4">
      <c r="C396" s="274"/>
      <c r="D396" s="319"/>
      <c r="E396" s="319"/>
      <c r="F396" s="319"/>
    </row>
    <row r="397" spans="3:6" ht="25.05" customHeight="1" x14ac:dyDescent="0.4">
      <c r="C397" s="274"/>
      <c r="D397" s="319"/>
      <c r="E397" s="319"/>
      <c r="F397" s="319"/>
    </row>
    <row r="398" spans="3:6" ht="25.05" customHeight="1" x14ac:dyDescent="0.4">
      <c r="C398" s="274"/>
      <c r="D398" s="319"/>
      <c r="E398" s="319"/>
      <c r="F398" s="319"/>
    </row>
    <row r="399" spans="3:6" ht="25.05" customHeight="1" x14ac:dyDescent="0.4">
      <c r="C399" s="274"/>
      <c r="D399" s="319"/>
      <c r="E399" s="319"/>
      <c r="F399" s="319"/>
    </row>
    <row r="400" spans="3:6" ht="25.05" customHeight="1" x14ac:dyDescent="0.4">
      <c r="C400" s="274"/>
      <c r="D400" s="319"/>
      <c r="E400" s="319"/>
      <c r="F400" s="319"/>
    </row>
    <row r="401" spans="3:6" ht="25.05" customHeight="1" x14ac:dyDescent="0.4">
      <c r="C401" s="274"/>
      <c r="D401" s="319"/>
      <c r="E401" s="319"/>
      <c r="F401" s="319"/>
    </row>
    <row r="402" spans="3:6" ht="25.05" customHeight="1" x14ac:dyDescent="0.4">
      <c r="C402" s="274"/>
      <c r="D402" s="319"/>
      <c r="E402" s="319"/>
      <c r="F402" s="319"/>
    </row>
    <row r="403" spans="3:6" ht="25.05" customHeight="1" x14ac:dyDescent="0.4">
      <c r="C403" s="274"/>
      <c r="D403" s="319"/>
      <c r="E403" s="319"/>
      <c r="F403" s="319"/>
    </row>
    <row r="404" spans="3:6" ht="25.05" customHeight="1" x14ac:dyDescent="0.4">
      <c r="C404" s="274"/>
      <c r="D404" s="319"/>
      <c r="E404" s="319"/>
      <c r="F404" s="319"/>
    </row>
    <row r="405" spans="3:6" ht="25.05" customHeight="1" x14ac:dyDescent="0.4">
      <c r="C405" s="274"/>
      <c r="D405" s="319"/>
      <c r="E405" s="319"/>
      <c r="F405" s="319"/>
    </row>
    <row r="406" spans="3:6" ht="25.05" customHeight="1" x14ac:dyDescent="0.4">
      <c r="C406" s="274"/>
      <c r="D406" s="319"/>
      <c r="E406" s="319"/>
      <c r="F406" s="319"/>
    </row>
    <row r="407" spans="3:6" ht="25.05" customHeight="1" x14ac:dyDescent="0.4">
      <c r="C407" s="274"/>
      <c r="D407" s="319"/>
      <c r="E407" s="319"/>
      <c r="F407" s="319"/>
    </row>
    <row r="408" spans="3:6" ht="25.05" customHeight="1" x14ac:dyDescent="0.4">
      <c r="C408" s="274"/>
      <c r="D408" s="319"/>
      <c r="E408" s="319"/>
      <c r="F408" s="319"/>
    </row>
    <row r="409" spans="3:6" ht="25.05" customHeight="1" x14ac:dyDescent="0.4">
      <c r="C409" s="274"/>
      <c r="D409" s="319"/>
      <c r="E409" s="319"/>
      <c r="F409" s="319"/>
    </row>
    <row r="410" spans="3:6" ht="25.05" customHeight="1" x14ac:dyDescent="0.4">
      <c r="C410" s="274"/>
      <c r="D410" s="319"/>
      <c r="E410" s="319"/>
      <c r="F410" s="319"/>
    </row>
    <row r="411" spans="3:6" ht="25.05" customHeight="1" x14ac:dyDescent="0.4">
      <c r="C411" s="274"/>
      <c r="D411" s="319"/>
      <c r="E411" s="319"/>
      <c r="F411" s="319"/>
    </row>
    <row r="412" spans="3:6" ht="25.05" customHeight="1" x14ac:dyDescent="0.4">
      <c r="C412" s="274"/>
      <c r="D412" s="319"/>
      <c r="E412" s="319"/>
      <c r="F412" s="319"/>
    </row>
    <row r="413" spans="3:6" ht="25.05" customHeight="1" x14ac:dyDescent="0.4">
      <c r="C413" s="274"/>
      <c r="D413" s="319"/>
      <c r="E413" s="319"/>
      <c r="F413" s="319"/>
    </row>
    <row r="414" spans="3:6" ht="25.05" customHeight="1" x14ac:dyDescent="0.4">
      <c r="C414" s="274"/>
      <c r="D414" s="319"/>
      <c r="E414" s="319"/>
      <c r="F414" s="319"/>
    </row>
    <row r="415" spans="3:6" ht="25.05" customHeight="1" x14ac:dyDescent="0.4">
      <c r="C415" s="274"/>
      <c r="D415" s="319"/>
      <c r="E415" s="319"/>
      <c r="F415" s="319"/>
    </row>
    <row r="416" spans="3:6" ht="25.05" customHeight="1" x14ac:dyDescent="0.4">
      <c r="C416" s="274"/>
      <c r="D416" s="319"/>
      <c r="E416" s="319"/>
      <c r="F416" s="319"/>
    </row>
    <row r="417" spans="3:6" ht="25.05" customHeight="1" x14ac:dyDescent="0.4">
      <c r="C417" s="274"/>
      <c r="D417" s="319"/>
      <c r="E417" s="319"/>
      <c r="F417" s="319"/>
    </row>
    <row r="418" spans="3:6" ht="25.05" customHeight="1" x14ac:dyDescent="0.4">
      <c r="C418" s="274"/>
      <c r="D418" s="319"/>
      <c r="E418" s="319"/>
      <c r="F418" s="319"/>
    </row>
    <row r="419" spans="3:6" ht="25.05" customHeight="1" x14ac:dyDescent="0.4">
      <c r="C419" s="274"/>
      <c r="D419" s="319"/>
      <c r="E419" s="319"/>
      <c r="F419" s="319"/>
    </row>
    <row r="420" spans="3:6" ht="25.05" customHeight="1" x14ac:dyDescent="0.4">
      <c r="C420" s="274"/>
      <c r="D420" s="319"/>
      <c r="E420" s="319"/>
      <c r="F420" s="319"/>
    </row>
    <row r="421" spans="3:6" ht="25.05" customHeight="1" x14ac:dyDescent="0.4">
      <c r="C421" s="274"/>
      <c r="D421" s="319"/>
      <c r="E421" s="319"/>
      <c r="F421" s="319"/>
    </row>
    <row r="422" spans="3:6" ht="25.05" customHeight="1" x14ac:dyDescent="0.4">
      <c r="C422" s="274"/>
      <c r="D422" s="319"/>
      <c r="E422" s="319"/>
      <c r="F422" s="319"/>
    </row>
    <row r="423" spans="3:6" ht="25.05" customHeight="1" x14ac:dyDescent="0.4">
      <c r="C423" s="274"/>
      <c r="D423" s="319"/>
      <c r="E423" s="319"/>
      <c r="F423" s="319"/>
    </row>
    <row r="424" spans="3:6" ht="25.05" customHeight="1" x14ac:dyDescent="0.4">
      <c r="C424" s="274"/>
      <c r="D424" s="319"/>
      <c r="E424" s="319"/>
      <c r="F424" s="319"/>
    </row>
    <row r="425" spans="3:6" ht="25.05" customHeight="1" x14ac:dyDescent="0.4">
      <c r="C425" s="274"/>
      <c r="D425" s="319"/>
      <c r="E425" s="319"/>
      <c r="F425" s="319"/>
    </row>
    <row r="426" spans="3:6" ht="25.05" customHeight="1" x14ac:dyDescent="0.4">
      <c r="C426" s="274"/>
      <c r="D426" s="319"/>
      <c r="E426" s="319"/>
      <c r="F426" s="319"/>
    </row>
    <row r="427" spans="3:6" ht="25.05" customHeight="1" x14ac:dyDescent="0.4">
      <c r="C427" s="274"/>
      <c r="D427" s="319"/>
      <c r="E427" s="319"/>
      <c r="F427" s="319"/>
    </row>
    <row r="428" spans="3:6" ht="25.05" customHeight="1" x14ac:dyDescent="0.4">
      <c r="C428" s="274"/>
      <c r="D428" s="319"/>
      <c r="E428" s="319"/>
      <c r="F428" s="319"/>
    </row>
    <row r="429" spans="3:6" ht="25.05" customHeight="1" x14ac:dyDescent="0.4">
      <c r="C429" s="274"/>
      <c r="D429" s="319"/>
      <c r="E429" s="319"/>
      <c r="F429" s="319"/>
    </row>
    <row r="430" spans="3:6" ht="25.05" customHeight="1" x14ac:dyDescent="0.4">
      <c r="C430" s="274"/>
      <c r="D430" s="319"/>
      <c r="E430" s="319"/>
      <c r="F430" s="319"/>
    </row>
    <row r="431" spans="3:6" ht="25.05" customHeight="1" x14ac:dyDescent="0.4">
      <c r="C431" s="274"/>
      <c r="D431" s="319"/>
      <c r="E431" s="319"/>
      <c r="F431" s="319"/>
    </row>
    <row r="432" spans="3:6" ht="25.05" customHeight="1" x14ac:dyDescent="0.4">
      <c r="C432" s="274"/>
      <c r="D432" s="319"/>
      <c r="E432" s="319"/>
      <c r="F432" s="319"/>
    </row>
    <row r="433" spans="3:6" ht="25.05" customHeight="1" x14ac:dyDescent="0.4">
      <c r="C433" s="274"/>
      <c r="D433" s="319"/>
      <c r="E433" s="319"/>
      <c r="F433" s="319"/>
    </row>
    <row r="434" spans="3:6" ht="25.05" customHeight="1" x14ac:dyDescent="0.4">
      <c r="C434" s="274"/>
      <c r="D434" s="319"/>
      <c r="E434" s="319"/>
      <c r="F434" s="319"/>
    </row>
    <row r="435" spans="3:6" ht="25.05" customHeight="1" x14ac:dyDescent="0.4">
      <c r="C435" s="274"/>
      <c r="D435" s="319"/>
      <c r="E435" s="319"/>
      <c r="F435" s="319"/>
    </row>
    <row r="436" spans="3:6" ht="25.05" customHeight="1" x14ac:dyDescent="0.4">
      <c r="C436" s="274"/>
      <c r="D436" s="319"/>
      <c r="E436" s="319"/>
      <c r="F436" s="319"/>
    </row>
    <row r="437" spans="3:6" ht="25.05" customHeight="1" x14ac:dyDescent="0.4">
      <c r="C437" s="274"/>
      <c r="D437" s="319"/>
      <c r="E437" s="319"/>
      <c r="F437" s="319"/>
    </row>
    <row r="438" spans="3:6" ht="25.05" customHeight="1" x14ac:dyDescent="0.4">
      <c r="C438" s="274"/>
      <c r="D438" s="319"/>
      <c r="E438" s="319"/>
      <c r="F438" s="319"/>
    </row>
    <row r="439" spans="3:6" ht="25.05" customHeight="1" x14ac:dyDescent="0.4">
      <c r="C439" s="274"/>
      <c r="D439" s="319"/>
      <c r="E439" s="319"/>
      <c r="F439" s="319"/>
    </row>
    <row r="440" spans="3:6" ht="25.05" customHeight="1" x14ac:dyDescent="0.4">
      <c r="C440" s="274"/>
      <c r="D440" s="319"/>
      <c r="E440" s="319"/>
      <c r="F440" s="319"/>
    </row>
    <row r="441" spans="3:6" ht="25.05" customHeight="1" x14ac:dyDescent="0.4">
      <c r="C441" s="274"/>
      <c r="D441" s="319"/>
      <c r="E441" s="319"/>
      <c r="F441" s="319"/>
    </row>
    <row r="442" spans="3:6" ht="25.05" customHeight="1" x14ac:dyDescent="0.4">
      <c r="C442" s="274"/>
      <c r="D442" s="319"/>
      <c r="E442" s="319"/>
      <c r="F442" s="319"/>
    </row>
    <row r="443" spans="3:6" ht="25.05" customHeight="1" x14ac:dyDescent="0.4">
      <c r="C443" s="274"/>
      <c r="D443" s="319"/>
      <c r="E443" s="319"/>
      <c r="F443" s="319"/>
    </row>
    <row r="444" spans="3:6" ht="25.05" customHeight="1" x14ac:dyDescent="0.4">
      <c r="C444" s="274"/>
      <c r="D444" s="319"/>
      <c r="E444" s="319"/>
      <c r="F444" s="319"/>
    </row>
    <row r="445" spans="3:6" ht="25.05" customHeight="1" x14ac:dyDescent="0.4">
      <c r="C445" s="274"/>
      <c r="D445" s="319"/>
      <c r="E445" s="319"/>
      <c r="F445" s="319"/>
    </row>
    <row r="446" spans="3:6" ht="25.05" customHeight="1" x14ac:dyDescent="0.4">
      <c r="C446" s="274"/>
      <c r="D446" s="319"/>
      <c r="E446" s="319"/>
      <c r="F446" s="319"/>
    </row>
    <row r="447" spans="3:6" ht="25.05" customHeight="1" x14ac:dyDescent="0.4">
      <c r="C447" s="274"/>
      <c r="D447" s="319"/>
      <c r="E447" s="319"/>
      <c r="F447" s="319"/>
    </row>
    <row r="448" spans="3:6" ht="25.05" customHeight="1" x14ac:dyDescent="0.4">
      <c r="C448" s="274"/>
      <c r="D448" s="319"/>
      <c r="E448" s="319"/>
      <c r="F448" s="319"/>
    </row>
    <row r="449" spans="3:6" ht="25.05" customHeight="1" x14ac:dyDescent="0.4">
      <c r="C449" s="274"/>
      <c r="D449" s="319"/>
      <c r="E449" s="319"/>
      <c r="F449" s="319"/>
    </row>
    <row r="450" spans="3:6" ht="25.05" customHeight="1" x14ac:dyDescent="0.4">
      <c r="C450" s="274"/>
      <c r="D450" s="319"/>
      <c r="E450" s="319"/>
      <c r="F450" s="319"/>
    </row>
    <row r="451" spans="3:6" ht="25.05" customHeight="1" x14ac:dyDescent="0.4">
      <c r="C451" s="274"/>
      <c r="D451" s="319"/>
      <c r="E451" s="319"/>
      <c r="F451" s="319"/>
    </row>
    <row r="452" spans="3:6" ht="25.05" customHeight="1" x14ac:dyDescent="0.4">
      <c r="C452" s="274"/>
      <c r="D452" s="319"/>
      <c r="E452" s="319"/>
      <c r="F452" s="319"/>
    </row>
    <row r="453" spans="3:6" ht="25.05" customHeight="1" x14ac:dyDescent="0.4">
      <c r="C453" s="274"/>
      <c r="D453" s="319"/>
      <c r="E453" s="319"/>
      <c r="F453" s="319"/>
    </row>
    <row r="454" spans="3:6" ht="25.05" customHeight="1" x14ac:dyDescent="0.4">
      <c r="C454" s="274"/>
      <c r="D454" s="319"/>
      <c r="E454" s="319"/>
      <c r="F454" s="319"/>
    </row>
    <row r="455" spans="3:6" ht="25.05" customHeight="1" x14ac:dyDescent="0.4">
      <c r="C455" s="274"/>
      <c r="D455" s="319"/>
      <c r="E455" s="319"/>
      <c r="F455" s="319"/>
    </row>
    <row r="456" spans="3:6" ht="25.05" customHeight="1" x14ac:dyDescent="0.4">
      <c r="C456" s="274"/>
      <c r="D456" s="319"/>
      <c r="E456" s="319"/>
      <c r="F456" s="319"/>
    </row>
    <row r="457" spans="3:6" ht="25.05" customHeight="1" x14ac:dyDescent="0.4">
      <c r="C457" s="274"/>
      <c r="D457" s="319"/>
      <c r="E457" s="319"/>
      <c r="F457" s="319"/>
    </row>
    <row r="458" spans="3:6" ht="25.05" customHeight="1" x14ac:dyDescent="0.4">
      <c r="C458" s="274"/>
      <c r="D458" s="319"/>
      <c r="E458" s="319"/>
      <c r="F458" s="319"/>
    </row>
    <row r="459" spans="3:6" ht="25.05" customHeight="1" x14ac:dyDescent="0.4">
      <c r="C459" s="274"/>
      <c r="D459" s="319"/>
      <c r="E459" s="319"/>
      <c r="F459" s="319"/>
    </row>
    <row r="460" spans="3:6" ht="25.05" customHeight="1" x14ac:dyDescent="0.4">
      <c r="C460" s="274"/>
      <c r="D460" s="319"/>
      <c r="E460" s="319"/>
      <c r="F460" s="319"/>
    </row>
    <row r="461" spans="3:6" ht="25.05" customHeight="1" x14ac:dyDescent="0.4">
      <c r="C461" s="274"/>
      <c r="D461" s="319"/>
      <c r="E461" s="319"/>
      <c r="F461" s="319"/>
    </row>
    <row r="462" spans="3:6" ht="25.05" customHeight="1" x14ac:dyDescent="0.4">
      <c r="C462" s="274"/>
      <c r="D462" s="319"/>
      <c r="E462" s="319"/>
      <c r="F462" s="319"/>
    </row>
    <row r="463" spans="3:6" ht="25.05" customHeight="1" x14ac:dyDescent="0.4">
      <c r="C463" s="274"/>
      <c r="D463" s="319"/>
      <c r="E463" s="319"/>
      <c r="F463" s="319"/>
    </row>
    <row r="464" spans="3:6" ht="25.05" customHeight="1" x14ac:dyDescent="0.4">
      <c r="C464" s="274"/>
      <c r="D464" s="319"/>
      <c r="E464" s="319"/>
      <c r="F464" s="319"/>
    </row>
    <row r="465" spans="3:6" ht="25.05" customHeight="1" x14ac:dyDescent="0.4">
      <c r="C465" s="274"/>
      <c r="D465" s="319"/>
      <c r="E465" s="319"/>
      <c r="F465" s="319"/>
    </row>
    <row r="466" spans="3:6" ht="25.05" customHeight="1" x14ac:dyDescent="0.4">
      <c r="C466" s="274"/>
      <c r="D466" s="319"/>
      <c r="E466" s="319"/>
      <c r="F466" s="319"/>
    </row>
    <row r="467" spans="3:6" ht="25.05" customHeight="1" x14ac:dyDescent="0.4">
      <c r="C467" s="274"/>
      <c r="D467" s="319"/>
      <c r="E467" s="319"/>
      <c r="F467" s="319"/>
    </row>
    <row r="468" spans="3:6" ht="25.05" customHeight="1" x14ac:dyDescent="0.4">
      <c r="C468" s="274"/>
      <c r="D468" s="319"/>
      <c r="E468" s="319"/>
      <c r="F468" s="319"/>
    </row>
    <row r="469" spans="3:6" ht="25.05" customHeight="1" x14ac:dyDescent="0.4">
      <c r="C469" s="274"/>
      <c r="D469" s="319"/>
      <c r="E469" s="319"/>
      <c r="F469" s="319"/>
    </row>
    <row r="470" spans="3:6" ht="25.05" customHeight="1" x14ac:dyDescent="0.4">
      <c r="C470" s="274"/>
      <c r="D470" s="319"/>
      <c r="E470" s="319"/>
      <c r="F470" s="319"/>
    </row>
    <row r="471" spans="3:6" ht="25.05" customHeight="1" x14ac:dyDescent="0.4">
      <c r="C471" s="274"/>
      <c r="D471" s="319"/>
      <c r="E471" s="319"/>
      <c r="F471" s="319"/>
    </row>
    <row r="472" spans="3:6" ht="25.05" customHeight="1" x14ac:dyDescent="0.4">
      <c r="C472" s="274"/>
      <c r="D472" s="319"/>
      <c r="E472" s="319"/>
      <c r="F472" s="319"/>
    </row>
    <row r="473" spans="3:6" ht="25.05" customHeight="1" x14ac:dyDescent="0.4">
      <c r="C473" s="274"/>
      <c r="D473" s="319"/>
      <c r="E473" s="319"/>
      <c r="F473" s="319"/>
    </row>
    <row r="474" spans="3:6" ht="25.05" customHeight="1" x14ac:dyDescent="0.4">
      <c r="C474" s="274"/>
      <c r="D474" s="319"/>
      <c r="E474" s="319"/>
      <c r="F474" s="319"/>
    </row>
    <row r="475" spans="3:6" ht="25.05" customHeight="1" x14ac:dyDescent="0.4">
      <c r="C475" s="274"/>
      <c r="D475" s="319"/>
      <c r="E475" s="319"/>
      <c r="F475" s="319"/>
    </row>
    <row r="476" spans="3:6" ht="25.05" customHeight="1" x14ac:dyDescent="0.4">
      <c r="C476" s="274"/>
      <c r="D476" s="319"/>
      <c r="E476" s="319"/>
      <c r="F476" s="319"/>
    </row>
    <row r="477" spans="3:6" ht="25.05" customHeight="1" x14ac:dyDescent="0.4">
      <c r="C477" s="274"/>
      <c r="D477" s="319"/>
      <c r="E477" s="319"/>
      <c r="F477" s="319"/>
    </row>
    <row r="478" spans="3:6" ht="25.05" customHeight="1" x14ac:dyDescent="0.4">
      <c r="C478" s="274"/>
      <c r="D478" s="319"/>
      <c r="E478" s="319"/>
      <c r="F478" s="319"/>
    </row>
    <row r="479" spans="3:6" ht="25.05" customHeight="1" x14ac:dyDescent="0.4">
      <c r="C479" s="274"/>
      <c r="D479" s="319"/>
      <c r="E479" s="319"/>
      <c r="F479" s="319"/>
    </row>
    <row r="480" spans="3:6" ht="25.05" customHeight="1" x14ac:dyDescent="0.4">
      <c r="C480" s="274"/>
      <c r="D480" s="319"/>
      <c r="E480" s="319"/>
      <c r="F480" s="319"/>
    </row>
    <row r="481" spans="3:6" ht="25.05" customHeight="1" x14ac:dyDescent="0.4">
      <c r="C481" s="274"/>
      <c r="D481" s="319"/>
      <c r="E481" s="319"/>
      <c r="F481" s="319"/>
    </row>
    <row r="482" spans="3:6" ht="25.05" customHeight="1" x14ac:dyDescent="0.4">
      <c r="C482" s="274"/>
      <c r="D482" s="319"/>
      <c r="E482" s="319"/>
      <c r="F482" s="319"/>
    </row>
    <row r="483" spans="3:6" ht="25.05" customHeight="1" x14ac:dyDescent="0.4">
      <c r="C483" s="274"/>
      <c r="D483" s="319"/>
      <c r="E483" s="319"/>
      <c r="F483" s="319"/>
    </row>
    <row r="484" spans="3:6" ht="25.05" customHeight="1" x14ac:dyDescent="0.4">
      <c r="C484" s="274"/>
      <c r="D484" s="319"/>
      <c r="E484" s="319"/>
      <c r="F484" s="319"/>
    </row>
    <row r="485" spans="3:6" ht="25.05" customHeight="1" x14ac:dyDescent="0.4">
      <c r="C485" s="274"/>
      <c r="D485" s="319"/>
      <c r="E485" s="319"/>
      <c r="F485" s="319"/>
    </row>
    <row r="486" spans="3:6" ht="25.05" customHeight="1" x14ac:dyDescent="0.4">
      <c r="C486" s="274"/>
      <c r="D486" s="319"/>
      <c r="E486" s="319"/>
      <c r="F486" s="319"/>
    </row>
    <row r="487" spans="3:6" ht="25.05" customHeight="1" x14ac:dyDescent="0.4">
      <c r="C487" s="274"/>
      <c r="D487" s="319"/>
      <c r="E487" s="319"/>
      <c r="F487" s="319"/>
    </row>
    <row r="488" spans="3:6" ht="25.05" customHeight="1" x14ac:dyDescent="0.4">
      <c r="C488" s="274"/>
      <c r="D488" s="319"/>
      <c r="E488" s="319"/>
      <c r="F488" s="319"/>
    </row>
    <row r="489" spans="3:6" ht="25.05" customHeight="1" x14ac:dyDescent="0.4">
      <c r="C489" s="274"/>
      <c r="D489" s="319"/>
      <c r="E489" s="319"/>
      <c r="F489" s="319"/>
    </row>
    <row r="490" spans="3:6" ht="25.05" customHeight="1" x14ac:dyDescent="0.4">
      <c r="C490" s="274"/>
      <c r="D490" s="319"/>
      <c r="E490" s="319"/>
      <c r="F490" s="319"/>
    </row>
    <row r="491" spans="3:6" ht="25.05" customHeight="1" x14ac:dyDescent="0.4">
      <c r="C491" s="274"/>
      <c r="D491" s="319"/>
      <c r="E491" s="319"/>
      <c r="F491" s="319"/>
    </row>
    <row r="492" spans="3:6" ht="25.05" customHeight="1" x14ac:dyDescent="0.4">
      <c r="C492" s="274"/>
      <c r="D492" s="319"/>
      <c r="E492" s="319"/>
      <c r="F492" s="319"/>
    </row>
    <row r="493" spans="3:6" ht="25.05" customHeight="1" x14ac:dyDescent="0.4">
      <c r="C493" s="274"/>
      <c r="D493" s="319"/>
      <c r="E493" s="319"/>
      <c r="F493" s="319"/>
    </row>
    <row r="494" spans="3:6" ht="25.05" customHeight="1" x14ac:dyDescent="0.4">
      <c r="C494" s="274"/>
      <c r="D494" s="319"/>
      <c r="E494" s="319"/>
      <c r="F494" s="319"/>
    </row>
    <row r="495" spans="3:6" ht="25.05" customHeight="1" x14ac:dyDescent="0.4">
      <c r="C495" s="274"/>
      <c r="D495" s="319"/>
      <c r="E495" s="319"/>
      <c r="F495" s="319"/>
    </row>
    <row r="496" spans="3:6" ht="25.05" customHeight="1" x14ac:dyDescent="0.4">
      <c r="C496" s="274"/>
      <c r="D496" s="319"/>
      <c r="E496" s="319"/>
      <c r="F496" s="319"/>
    </row>
    <row r="497" spans="3:6" ht="25.05" customHeight="1" x14ac:dyDescent="0.4">
      <c r="C497" s="274"/>
      <c r="D497" s="319"/>
      <c r="E497" s="319"/>
      <c r="F497" s="319"/>
    </row>
    <row r="498" spans="3:6" ht="25.05" customHeight="1" x14ac:dyDescent="0.4">
      <c r="C498" s="274"/>
      <c r="D498" s="319"/>
      <c r="E498" s="319"/>
      <c r="F498" s="319"/>
    </row>
    <row r="499" spans="3:6" ht="25.05" customHeight="1" x14ac:dyDescent="0.4">
      <c r="C499" s="274"/>
      <c r="D499" s="319"/>
      <c r="E499" s="319"/>
      <c r="F499" s="319"/>
    </row>
    <row r="500" spans="3:6" ht="25.05" customHeight="1" x14ac:dyDescent="0.4">
      <c r="C500" s="274"/>
      <c r="D500" s="319"/>
      <c r="E500" s="319"/>
      <c r="F500" s="319"/>
    </row>
    <row r="501" spans="3:6" ht="25.05" customHeight="1" x14ac:dyDescent="0.4">
      <c r="C501" s="274"/>
      <c r="D501" s="319"/>
      <c r="E501" s="319"/>
      <c r="F501" s="319"/>
    </row>
    <row r="502" spans="3:6" ht="25.05" customHeight="1" x14ac:dyDescent="0.4">
      <c r="C502" s="274"/>
      <c r="D502" s="319"/>
      <c r="E502" s="319"/>
      <c r="F502" s="319"/>
    </row>
    <row r="503" spans="3:6" ht="25.05" customHeight="1" x14ac:dyDescent="0.4">
      <c r="C503" s="274"/>
      <c r="D503" s="319"/>
      <c r="E503" s="319"/>
      <c r="F503" s="319"/>
    </row>
    <row r="504" spans="3:6" ht="25.05" customHeight="1" x14ac:dyDescent="0.4">
      <c r="C504" s="274"/>
      <c r="D504" s="319"/>
      <c r="E504" s="319"/>
      <c r="F504" s="319"/>
    </row>
    <row r="505" spans="3:6" ht="25.05" customHeight="1" x14ac:dyDescent="0.4">
      <c r="C505" s="274"/>
      <c r="D505" s="319"/>
      <c r="E505" s="319"/>
      <c r="F505" s="319"/>
    </row>
    <row r="506" spans="3:6" ht="25.05" customHeight="1" x14ac:dyDescent="0.4">
      <c r="C506" s="274"/>
      <c r="D506" s="319"/>
      <c r="E506" s="319"/>
      <c r="F506" s="319"/>
    </row>
    <row r="507" spans="3:6" ht="25.05" customHeight="1" x14ac:dyDescent="0.4">
      <c r="C507" s="274"/>
      <c r="D507" s="319"/>
      <c r="E507" s="319"/>
      <c r="F507" s="319"/>
    </row>
    <row r="508" spans="3:6" ht="25.05" customHeight="1" x14ac:dyDescent="0.4">
      <c r="C508" s="274"/>
      <c r="D508" s="319"/>
      <c r="E508" s="319"/>
      <c r="F508" s="319"/>
    </row>
    <row r="509" spans="3:6" ht="25.05" customHeight="1" x14ac:dyDescent="0.4">
      <c r="C509" s="274"/>
      <c r="D509" s="319"/>
      <c r="E509" s="319"/>
      <c r="F509" s="319"/>
    </row>
    <row r="510" spans="3:6" ht="25.05" customHeight="1" x14ac:dyDescent="0.4">
      <c r="C510" s="274"/>
      <c r="D510" s="319"/>
      <c r="E510" s="319"/>
      <c r="F510" s="319"/>
    </row>
    <row r="511" spans="3:6" ht="25.05" customHeight="1" x14ac:dyDescent="0.4">
      <c r="C511" s="274"/>
      <c r="D511" s="319"/>
      <c r="E511" s="319"/>
      <c r="F511" s="319"/>
    </row>
    <row r="512" spans="3:6" ht="25.05" customHeight="1" x14ac:dyDescent="0.4">
      <c r="C512" s="274"/>
      <c r="D512" s="319"/>
      <c r="E512" s="319"/>
      <c r="F512" s="319"/>
    </row>
    <row r="513" spans="3:6" ht="25.05" customHeight="1" x14ac:dyDescent="0.4">
      <c r="C513" s="274"/>
      <c r="D513" s="319"/>
      <c r="E513" s="319"/>
      <c r="F513" s="319"/>
    </row>
    <row r="514" spans="3:6" ht="25.05" customHeight="1" x14ac:dyDescent="0.4">
      <c r="C514" s="274"/>
      <c r="D514" s="319"/>
      <c r="E514" s="319"/>
      <c r="F514" s="319"/>
    </row>
    <row r="515" spans="3:6" ht="25.05" customHeight="1" x14ac:dyDescent="0.4">
      <c r="C515" s="274"/>
      <c r="D515" s="319"/>
      <c r="E515" s="319"/>
      <c r="F515" s="319"/>
    </row>
    <row r="516" spans="3:6" ht="25.05" customHeight="1" x14ac:dyDescent="0.4">
      <c r="C516" s="274"/>
      <c r="D516" s="319"/>
      <c r="E516" s="319"/>
      <c r="F516" s="319"/>
    </row>
    <row r="517" spans="3:6" ht="25.05" customHeight="1" x14ac:dyDescent="0.4">
      <c r="C517" s="274"/>
      <c r="D517" s="319"/>
      <c r="E517" s="319"/>
      <c r="F517" s="319"/>
    </row>
    <row r="518" spans="3:6" ht="25.05" customHeight="1" x14ac:dyDescent="0.4">
      <c r="C518" s="274"/>
      <c r="D518" s="319"/>
      <c r="E518" s="319"/>
      <c r="F518" s="319"/>
    </row>
    <row r="519" spans="3:6" ht="25.05" customHeight="1" x14ac:dyDescent="0.4">
      <c r="C519" s="274"/>
      <c r="D519" s="319"/>
      <c r="E519" s="319"/>
      <c r="F519" s="319"/>
    </row>
    <row r="520" spans="3:6" ht="25.05" customHeight="1" x14ac:dyDescent="0.4">
      <c r="C520" s="274"/>
      <c r="D520" s="319"/>
      <c r="E520" s="319"/>
      <c r="F520" s="319"/>
    </row>
    <row r="521" spans="3:6" ht="25.05" customHeight="1" x14ac:dyDescent="0.4">
      <c r="C521" s="274"/>
      <c r="D521" s="319"/>
      <c r="E521" s="319"/>
      <c r="F521" s="319"/>
    </row>
    <row r="522" spans="3:6" ht="25.05" customHeight="1" x14ac:dyDescent="0.4">
      <c r="C522" s="274"/>
      <c r="D522" s="319"/>
      <c r="E522" s="319"/>
      <c r="F522" s="319"/>
    </row>
    <row r="523" spans="3:6" ht="25.05" customHeight="1" x14ac:dyDescent="0.4">
      <c r="C523" s="274"/>
      <c r="D523" s="319"/>
      <c r="E523" s="319"/>
      <c r="F523" s="319"/>
    </row>
    <row r="524" spans="3:6" ht="25.05" customHeight="1" x14ac:dyDescent="0.4">
      <c r="C524" s="274"/>
      <c r="D524" s="319"/>
      <c r="E524" s="319"/>
      <c r="F524" s="319"/>
    </row>
    <row r="525" spans="3:6" ht="25.05" customHeight="1" x14ac:dyDescent="0.4">
      <c r="C525" s="274"/>
      <c r="D525" s="319"/>
      <c r="E525" s="319"/>
      <c r="F525" s="319"/>
    </row>
    <row r="526" spans="3:6" ht="25.05" customHeight="1" x14ac:dyDescent="0.4">
      <c r="C526" s="274"/>
      <c r="D526" s="319"/>
      <c r="E526" s="319"/>
      <c r="F526" s="319"/>
    </row>
    <row r="527" spans="3:6" ht="25.05" customHeight="1" x14ac:dyDescent="0.4">
      <c r="C527" s="274"/>
      <c r="D527" s="319"/>
      <c r="E527" s="319"/>
      <c r="F527" s="319"/>
    </row>
    <row r="528" spans="3:6" ht="25.05" customHeight="1" x14ac:dyDescent="0.4">
      <c r="C528" s="274"/>
      <c r="D528" s="319"/>
      <c r="E528" s="319"/>
      <c r="F528" s="319"/>
    </row>
    <row r="529" spans="3:6" ht="25.05" customHeight="1" x14ac:dyDescent="0.4">
      <c r="C529" s="274"/>
      <c r="D529" s="319"/>
      <c r="E529" s="319"/>
      <c r="F529" s="319"/>
    </row>
    <row r="530" spans="3:6" ht="25.05" customHeight="1" x14ac:dyDescent="0.4">
      <c r="C530" s="274"/>
      <c r="D530" s="319"/>
      <c r="E530" s="319"/>
      <c r="F530" s="319"/>
    </row>
    <row r="531" spans="3:6" ht="25.05" customHeight="1" x14ac:dyDescent="0.4">
      <c r="C531" s="274"/>
      <c r="D531" s="319"/>
      <c r="E531" s="319"/>
      <c r="F531" s="319"/>
    </row>
    <row r="532" spans="3:6" ht="25.05" customHeight="1" x14ac:dyDescent="0.4">
      <c r="C532" s="274"/>
      <c r="D532" s="319"/>
      <c r="E532" s="319"/>
      <c r="F532" s="319"/>
    </row>
    <row r="533" spans="3:6" ht="25.05" customHeight="1" x14ac:dyDescent="0.4">
      <c r="C533" s="274"/>
      <c r="D533" s="319"/>
      <c r="E533" s="319"/>
      <c r="F533" s="319"/>
    </row>
    <row r="534" spans="3:6" ht="25.05" customHeight="1" x14ac:dyDescent="0.4">
      <c r="C534" s="274"/>
      <c r="D534" s="319"/>
      <c r="E534" s="319"/>
      <c r="F534" s="319"/>
    </row>
    <row r="535" spans="3:6" ht="25.05" customHeight="1" x14ac:dyDescent="0.4">
      <c r="C535" s="274"/>
      <c r="D535" s="319"/>
      <c r="E535" s="319"/>
      <c r="F535" s="319"/>
    </row>
    <row r="536" spans="3:6" ht="25.05" customHeight="1" x14ac:dyDescent="0.4">
      <c r="C536" s="274"/>
      <c r="D536" s="319"/>
      <c r="E536" s="319"/>
      <c r="F536" s="319"/>
    </row>
    <row r="537" spans="3:6" ht="25.05" customHeight="1" x14ac:dyDescent="0.4">
      <c r="C537" s="274"/>
      <c r="D537" s="319"/>
      <c r="E537" s="319"/>
      <c r="F537" s="319"/>
    </row>
    <row r="538" spans="3:6" ht="25.05" customHeight="1" x14ac:dyDescent="0.4">
      <c r="C538" s="274"/>
      <c r="D538" s="319"/>
      <c r="E538" s="319"/>
      <c r="F538" s="319"/>
    </row>
    <row r="539" spans="3:6" ht="25.05" customHeight="1" x14ac:dyDescent="0.4">
      <c r="C539" s="274"/>
      <c r="D539" s="319"/>
      <c r="E539" s="319"/>
      <c r="F539" s="319"/>
    </row>
    <row r="540" spans="3:6" ht="25.05" customHeight="1" x14ac:dyDescent="0.4">
      <c r="C540" s="274"/>
      <c r="D540" s="319"/>
      <c r="E540" s="319"/>
      <c r="F540" s="319"/>
    </row>
    <row r="541" spans="3:6" ht="25.05" customHeight="1" x14ac:dyDescent="0.4">
      <c r="C541" s="274"/>
      <c r="D541" s="319"/>
      <c r="E541" s="319"/>
      <c r="F541" s="319"/>
    </row>
    <row r="542" spans="3:6" ht="25.05" customHeight="1" x14ac:dyDescent="0.4">
      <c r="C542" s="274"/>
      <c r="D542" s="319"/>
      <c r="E542" s="319"/>
      <c r="F542" s="319"/>
    </row>
    <row r="543" spans="3:6" ht="25.05" customHeight="1" x14ac:dyDescent="0.4">
      <c r="C543" s="274"/>
      <c r="D543" s="319"/>
      <c r="E543" s="319"/>
      <c r="F543" s="319"/>
    </row>
    <row r="544" spans="3:6" ht="25.05" customHeight="1" x14ac:dyDescent="0.4">
      <c r="C544" s="274"/>
      <c r="D544" s="319"/>
      <c r="E544" s="319"/>
      <c r="F544" s="319"/>
    </row>
    <row r="545" spans="3:6" ht="25.05" customHeight="1" x14ac:dyDescent="0.4">
      <c r="C545" s="274"/>
      <c r="D545" s="319"/>
      <c r="E545" s="319"/>
      <c r="F545" s="319"/>
    </row>
    <row r="546" spans="3:6" ht="25.05" customHeight="1" x14ac:dyDescent="0.4">
      <c r="C546" s="274"/>
      <c r="D546" s="319"/>
      <c r="E546" s="319"/>
      <c r="F546" s="319"/>
    </row>
    <row r="547" spans="3:6" ht="25.05" customHeight="1" x14ac:dyDescent="0.4">
      <c r="C547" s="274"/>
      <c r="D547" s="319"/>
      <c r="E547" s="319"/>
      <c r="F547" s="319"/>
    </row>
    <row r="548" spans="3:6" ht="25.05" customHeight="1" x14ac:dyDescent="0.4">
      <c r="C548" s="274"/>
      <c r="D548" s="319"/>
      <c r="E548" s="319"/>
      <c r="F548" s="319"/>
    </row>
    <row r="549" spans="3:6" ht="25.05" customHeight="1" x14ac:dyDescent="0.4">
      <c r="C549" s="274"/>
      <c r="D549" s="319"/>
      <c r="E549" s="319"/>
      <c r="F549" s="319"/>
    </row>
    <row r="550" spans="3:6" ht="25.05" customHeight="1" x14ac:dyDescent="0.4">
      <c r="C550" s="274"/>
      <c r="D550" s="319"/>
      <c r="E550" s="319"/>
      <c r="F550" s="319"/>
    </row>
    <row r="551" spans="3:6" ht="25.05" customHeight="1" x14ac:dyDescent="0.4">
      <c r="C551" s="274"/>
      <c r="D551" s="319"/>
      <c r="E551" s="319"/>
      <c r="F551" s="319"/>
    </row>
    <row r="552" spans="3:6" ht="25.05" customHeight="1" x14ac:dyDescent="0.4">
      <c r="C552" s="274"/>
      <c r="D552" s="319"/>
      <c r="E552" s="319"/>
      <c r="F552" s="319"/>
    </row>
    <row r="553" spans="3:6" ht="25.05" customHeight="1" x14ac:dyDescent="0.4">
      <c r="C553" s="274"/>
      <c r="D553" s="319"/>
      <c r="E553" s="319"/>
      <c r="F553" s="319"/>
    </row>
    <row r="554" spans="3:6" ht="25.05" customHeight="1" x14ac:dyDescent="0.4">
      <c r="C554" s="274"/>
      <c r="D554" s="319"/>
      <c r="E554" s="319"/>
      <c r="F554" s="319"/>
    </row>
    <row r="555" spans="3:6" ht="25.05" customHeight="1" x14ac:dyDescent="0.4">
      <c r="C555" s="274"/>
      <c r="D555" s="319"/>
      <c r="E555" s="319"/>
      <c r="F555" s="319"/>
    </row>
    <row r="556" spans="3:6" ht="25.05" customHeight="1" x14ac:dyDescent="0.4">
      <c r="C556" s="274"/>
      <c r="D556" s="319"/>
      <c r="E556" s="319"/>
      <c r="F556" s="319"/>
    </row>
    <row r="557" spans="3:6" ht="25.05" customHeight="1" x14ac:dyDescent="0.4">
      <c r="C557" s="274"/>
      <c r="D557" s="319"/>
      <c r="E557" s="319"/>
      <c r="F557" s="319"/>
    </row>
    <row r="558" spans="3:6" ht="25.05" customHeight="1" x14ac:dyDescent="0.4">
      <c r="C558" s="274"/>
      <c r="D558" s="319"/>
      <c r="E558" s="319"/>
      <c r="F558" s="319"/>
    </row>
    <row r="559" spans="3:6" ht="25.05" customHeight="1" x14ac:dyDescent="0.4">
      <c r="C559" s="274"/>
      <c r="D559" s="319"/>
      <c r="E559" s="319"/>
      <c r="F559" s="319"/>
    </row>
    <row r="560" spans="3:6" ht="25.05" customHeight="1" x14ac:dyDescent="0.4">
      <c r="C560" s="274"/>
      <c r="D560" s="319"/>
      <c r="E560" s="319"/>
      <c r="F560" s="319"/>
    </row>
    <row r="561" spans="3:6" ht="25.05" customHeight="1" x14ac:dyDescent="0.4">
      <c r="C561" s="274"/>
      <c r="D561" s="319"/>
      <c r="E561" s="319"/>
      <c r="F561" s="319"/>
    </row>
    <row r="562" spans="3:6" ht="25.05" customHeight="1" x14ac:dyDescent="0.4">
      <c r="C562" s="274"/>
      <c r="D562" s="319"/>
      <c r="E562" s="319"/>
      <c r="F562" s="319"/>
    </row>
    <row r="563" spans="3:6" ht="25.05" customHeight="1" x14ac:dyDescent="0.4">
      <c r="C563" s="274"/>
      <c r="D563" s="319"/>
      <c r="E563" s="319"/>
      <c r="F563" s="319"/>
    </row>
    <row r="564" spans="3:6" ht="25.05" customHeight="1" x14ac:dyDescent="0.4">
      <c r="C564" s="274"/>
      <c r="D564" s="319"/>
      <c r="E564" s="319"/>
      <c r="F564" s="319"/>
    </row>
    <row r="565" spans="3:6" ht="25.05" customHeight="1" x14ac:dyDescent="0.4">
      <c r="C565" s="274"/>
      <c r="D565" s="319"/>
      <c r="E565" s="319"/>
      <c r="F565" s="319"/>
    </row>
    <row r="566" spans="3:6" ht="25.05" customHeight="1" x14ac:dyDescent="0.4">
      <c r="C566" s="274"/>
      <c r="D566" s="319"/>
      <c r="E566" s="319"/>
      <c r="F566" s="319"/>
    </row>
    <row r="567" spans="3:6" ht="25.05" customHeight="1" x14ac:dyDescent="0.4">
      <c r="C567" s="274"/>
      <c r="D567" s="319"/>
      <c r="E567" s="319"/>
      <c r="F567" s="319"/>
    </row>
    <row r="568" spans="3:6" ht="25.05" customHeight="1" x14ac:dyDescent="0.4">
      <c r="C568" s="274"/>
      <c r="D568" s="319"/>
      <c r="E568" s="319"/>
      <c r="F568" s="319"/>
    </row>
    <row r="569" spans="3:6" ht="25.05" customHeight="1" x14ac:dyDescent="0.4">
      <c r="C569" s="274"/>
      <c r="D569" s="319"/>
      <c r="E569" s="319"/>
      <c r="F569" s="319"/>
    </row>
    <row r="570" spans="3:6" ht="25.05" customHeight="1" x14ac:dyDescent="0.4">
      <c r="C570" s="274"/>
      <c r="D570" s="319"/>
      <c r="E570" s="319"/>
      <c r="F570" s="319"/>
    </row>
    <row r="571" spans="3:6" ht="25.05" customHeight="1" x14ac:dyDescent="0.4">
      <c r="C571" s="274"/>
      <c r="D571" s="319"/>
      <c r="E571" s="319"/>
      <c r="F571" s="319"/>
    </row>
    <row r="572" spans="3:6" ht="25.05" customHeight="1" x14ac:dyDescent="0.4">
      <c r="C572" s="274"/>
      <c r="D572" s="319"/>
      <c r="E572" s="319"/>
      <c r="F572" s="319"/>
    </row>
    <row r="573" spans="3:6" ht="25.05" customHeight="1" x14ac:dyDescent="0.4">
      <c r="C573" s="274"/>
      <c r="D573" s="319"/>
      <c r="E573" s="319"/>
      <c r="F573" s="319"/>
    </row>
    <row r="574" spans="3:6" ht="25.05" customHeight="1" x14ac:dyDescent="0.4">
      <c r="C574" s="274"/>
      <c r="D574" s="319"/>
      <c r="E574" s="319"/>
      <c r="F574" s="319"/>
    </row>
    <row r="575" spans="3:6" ht="25.05" customHeight="1" x14ac:dyDescent="0.4">
      <c r="C575" s="274"/>
      <c r="D575" s="319"/>
      <c r="E575" s="319"/>
      <c r="F575" s="319"/>
    </row>
    <row r="576" spans="3:6" ht="25.05" customHeight="1" x14ac:dyDescent="0.4">
      <c r="C576" s="274"/>
      <c r="D576" s="319"/>
      <c r="E576" s="319"/>
      <c r="F576" s="319"/>
    </row>
    <row r="577" spans="3:6" ht="25.05" customHeight="1" x14ac:dyDescent="0.4">
      <c r="C577" s="274"/>
      <c r="D577" s="319"/>
      <c r="E577" s="319"/>
      <c r="F577" s="319"/>
    </row>
    <row r="578" spans="3:6" ht="25.05" customHeight="1" x14ac:dyDescent="0.4">
      <c r="C578" s="274"/>
      <c r="D578" s="319"/>
      <c r="E578" s="319"/>
      <c r="F578" s="319"/>
    </row>
    <row r="579" spans="3:6" ht="25.05" customHeight="1" x14ac:dyDescent="0.4">
      <c r="C579" s="274"/>
      <c r="D579" s="319"/>
      <c r="E579" s="319"/>
      <c r="F579" s="319"/>
    </row>
    <row r="580" spans="3:6" ht="25.05" customHeight="1" x14ac:dyDescent="0.4">
      <c r="C580" s="274"/>
      <c r="D580" s="319"/>
      <c r="E580" s="319"/>
      <c r="F580" s="319"/>
    </row>
    <row r="581" spans="3:6" ht="25.05" customHeight="1" x14ac:dyDescent="0.4">
      <c r="C581" s="274"/>
      <c r="D581" s="319"/>
      <c r="E581" s="319"/>
      <c r="F581" s="319"/>
    </row>
    <row r="582" spans="3:6" ht="25.05" customHeight="1" x14ac:dyDescent="0.4">
      <c r="C582" s="274"/>
      <c r="D582" s="319"/>
      <c r="E582" s="319"/>
      <c r="F582" s="319"/>
    </row>
    <row r="583" spans="3:6" ht="25.05" customHeight="1" x14ac:dyDescent="0.4">
      <c r="C583" s="274"/>
      <c r="D583" s="319"/>
      <c r="E583" s="319"/>
      <c r="F583" s="319"/>
    </row>
    <row r="584" spans="3:6" ht="25.05" customHeight="1" x14ac:dyDescent="0.4">
      <c r="C584" s="274"/>
      <c r="D584" s="319"/>
      <c r="E584" s="319"/>
      <c r="F584" s="319"/>
    </row>
    <row r="585" spans="3:6" ht="25.05" customHeight="1" x14ac:dyDescent="0.4">
      <c r="C585" s="274"/>
      <c r="D585" s="319"/>
      <c r="E585" s="319"/>
      <c r="F585" s="319"/>
    </row>
    <row r="586" spans="3:6" ht="25.05" customHeight="1" x14ac:dyDescent="0.4">
      <c r="C586" s="274"/>
      <c r="D586" s="319"/>
      <c r="E586" s="319"/>
      <c r="F586" s="319"/>
    </row>
    <row r="587" spans="3:6" ht="25.05" customHeight="1" x14ac:dyDescent="0.4">
      <c r="C587" s="274"/>
      <c r="D587" s="319"/>
      <c r="E587" s="319"/>
      <c r="F587" s="319"/>
    </row>
    <row r="588" spans="3:6" ht="25.05" customHeight="1" x14ac:dyDescent="0.4">
      <c r="C588" s="274"/>
      <c r="D588" s="319"/>
      <c r="E588" s="319"/>
      <c r="F588" s="319"/>
    </row>
    <row r="589" spans="3:6" ht="25.05" customHeight="1" x14ac:dyDescent="0.4">
      <c r="C589" s="274"/>
      <c r="D589" s="319"/>
      <c r="E589" s="319"/>
      <c r="F589" s="319"/>
    </row>
    <row r="590" spans="3:6" ht="25.05" customHeight="1" x14ac:dyDescent="0.4">
      <c r="C590" s="274"/>
      <c r="D590" s="319"/>
      <c r="E590" s="319"/>
      <c r="F590" s="319"/>
    </row>
    <row r="591" spans="3:6" ht="25.05" customHeight="1" x14ac:dyDescent="0.4">
      <c r="C591" s="274"/>
      <c r="D591" s="319"/>
      <c r="E591" s="319"/>
      <c r="F591" s="319"/>
    </row>
    <row r="592" spans="3:6" ht="25.05" customHeight="1" x14ac:dyDescent="0.4">
      <c r="C592" s="274"/>
      <c r="D592" s="319"/>
      <c r="E592" s="319"/>
      <c r="F592" s="319"/>
    </row>
    <row r="593" spans="3:6" ht="25.05" customHeight="1" x14ac:dyDescent="0.4">
      <c r="C593" s="274"/>
      <c r="D593" s="319"/>
      <c r="E593" s="319"/>
      <c r="F593" s="319"/>
    </row>
    <row r="594" spans="3:6" ht="25.05" customHeight="1" x14ac:dyDescent="0.4">
      <c r="C594" s="274"/>
      <c r="D594" s="319"/>
      <c r="E594" s="319"/>
      <c r="F594" s="319"/>
    </row>
    <row r="595" spans="3:6" ht="25.05" customHeight="1" x14ac:dyDescent="0.4">
      <c r="C595" s="274"/>
      <c r="D595" s="319"/>
      <c r="E595" s="319"/>
      <c r="F595" s="319"/>
    </row>
    <row r="596" spans="3:6" ht="25.05" customHeight="1" x14ac:dyDescent="0.4">
      <c r="C596" s="274"/>
      <c r="D596" s="319"/>
      <c r="E596" s="319"/>
      <c r="F596" s="319"/>
    </row>
    <row r="597" spans="3:6" ht="25.05" customHeight="1" x14ac:dyDescent="0.4">
      <c r="C597" s="274"/>
      <c r="D597" s="319"/>
      <c r="E597" s="319"/>
      <c r="F597" s="319"/>
    </row>
    <row r="598" spans="3:6" ht="25.05" customHeight="1" x14ac:dyDescent="0.4">
      <c r="C598" s="274"/>
      <c r="D598" s="319"/>
      <c r="E598" s="319"/>
      <c r="F598" s="319"/>
    </row>
    <row r="599" spans="3:6" ht="25.05" customHeight="1" x14ac:dyDescent="0.4">
      <c r="C599" s="274"/>
      <c r="D599" s="319"/>
      <c r="E599" s="319"/>
      <c r="F599" s="319"/>
    </row>
    <row r="600" spans="3:6" ht="25.05" customHeight="1" x14ac:dyDescent="0.4">
      <c r="C600" s="274"/>
      <c r="D600" s="319"/>
      <c r="E600" s="319"/>
      <c r="F600" s="319"/>
    </row>
    <row r="601" spans="3:6" ht="25.05" customHeight="1" x14ac:dyDescent="0.4">
      <c r="C601" s="274"/>
      <c r="D601" s="319"/>
      <c r="E601" s="319"/>
      <c r="F601" s="319"/>
    </row>
    <row r="602" spans="3:6" ht="25.05" customHeight="1" x14ac:dyDescent="0.4">
      <c r="C602" s="274"/>
      <c r="D602" s="319"/>
      <c r="E602" s="319"/>
      <c r="F602" s="319"/>
    </row>
    <row r="603" spans="3:6" ht="25.05" customHeight="1" x14ac:dyDescent="0.4">
      <c r="C603" s="274"/>
      <c r="D603" s="319"/>
      <c r="E603" s="319"/>
      <c r="F603" s="319"/>
    </row>
    <row r="604" spans="3:6" ht="25.05" customHeight="1" x14ac:dyDescent="0.4">
      <c r="C604" s="274"/>
      <c r="D604" s="319"/>
      <c r="E604" s="319"/>
      <c r="F604" s="319"/>
    </row>
    <row r="605" spans="3:6" ht="25.05" customHeight="1" x14ac:dyDescent="0.4">
      <c r="C605" s="274"/>
      <c r="D605" s="319"/>
      <c r="E605" s="319"/>
      <c r="F605" s="319"/>
    </row>
    <row r="606" spans="3:6" ht="25.05" customHeight="1" x14ac:dyDescent="0.4">
      <c r="C606" s="274"/>
      <c r="D606" s="319"/>
      <c r="E606" s="319"/>
      <c r="F606" s="319"/>
    </row>
    <row r="607" spans="3:6" ht="25.05" customHeight="1" x14ac:dyDescent="0.4">
      <c r="C607" s="274"/>
      <c r="D607" s="319"/>
      <c r="E607" s="319"/>
      <c r="F607" s="319"/>
    </row>
    <row r="608" spans="3:6" ht="25.05" customHeight="1" x14ac:dyDescent="0.4">
      <c r="C608" s="274"/>
      <c r="D608" s="319"/>
      <c r="E608" s="319"/>
      <c r="F608" s="319"/>
    </row>
    <row r="609" spans="3:6" ht="25.05" customHeight="1" x14ac:dyDescent="0.4">
      <c r="C609" s="274"/>
      <c r="D609" s="319"/>
      <c r="E609" s="319"/>
      <c r="F609" s="319"/>
    </row>
    <row r="610" spans="3:6" ht="25.05" customHeight="1" x14ac:dyDescent="0.4">
      <c r="C610" s="274"/>
      <c r="D610" s="319"/>
      <c r="E610" s="319"/>
      <c r="F610" s="319"/>
    </row>
    <row r="611" spans="3:6" ht="25.05" customHeight="1" x14ac:dyDescent="0.4">
      <c r="C611" s="274"/>
      <c r="D611" s="319"/>
      <c r="E611" s="319"/>
      <c r="F611" s="319"/>
    </row>
    <row r="612" spans="3:6" ht="25.05" customHeight="1" x14ac:dyDescent="0.4">
      <c r="C612" s="274"/>
      <c r="D612" s="319"/>
      <c r="E612" s="319"/>
      <c r="F612" s="319"/>
    </row>
    <row r="613" spans="3:6" ht="25.05" customHeight="1" x14ac:dyDescent="0.4">
      <c r="C613" s="274"/>
      <c r="D613" s="319"/>
      <c r="E613" s="319"/>
      <c r="F613" s="319"/>
    </row>
    <row r="614" spans="3:6" ht="25.05" customHeight="1" x14ac:dyDescent="0.4">
      <c r="C614" s="274"/>
      <c r="D614" s="319"/>
      <c r="E614" s="319"/>
      <c r="F614" s="319"/>
    </row>
    <row r="615" spans="3:6" ht="25.05" customHeight="1" x14ac:dyDescent="0.4">
      <c r="C615" s="274"/>
      <c r="D615" s="319"/>
      <c r="E615" s="319"/>
      <c r="F615" s="319"/>
    </row>
    <row r="616" spans="3:6" ht="25.05" customHeight="1" x14ac:dyDescent="0.4">
      <c r="C616" s="274"/>
      <c r="D616" s="319"/>
      <c r="E616" s="319"/>
      <c r="F616" s="319"/>
    </row>
    <row r="617" spans="3:6" ht="25.05" customHeight="1" x14ac:dyDescent="0.4">
      <c r="C617" s="274"/>
      <c r="D617" s="319"/>
      <c r="E617" s="319"/>
      <c r="F617" s="319"/>
    </row>
    <row r="618" spans="3:6" ht="25.05" customHeight="1" x14ac:dyDescent="0.4">
      <c r="C618" s="274"/>
      <c r="D618" s="319"/>
      <c r="E618" s="319"/>
      <c r="F618" s="319"/>
    </row>
    <row r="619" spans="3:6" ht="25.05" customHeight="1" x14ac:dyDescent="0.4">
      <c r="C619" s="274"/>
      <c r="D619" s="319"/>
      <c r="E619" s="319"/>
      <c r="F619" s="319"/>
    </row>
    <row r="620" spans="3:6" ht="25.05" customHeight="1" x14ac:dyDescent="0.4">
      <c r="C620" s="274"/>
      <c r="D620" s="319"/>
      <c r="E620" s="319"/>
      <c r="F620" s="319"/>
    </row>
    <row r="621" spans="3:6" ht="25.05" customHeight="1" x14ac:dyDescent="0.4">
      <c r="C621" s="274"/>
      <c r="D621" s="319"/>
      <c r="E621" s="319"/>
      <c r="F621" s="319"/>
    </row>
    <row r="622" spans="3:6" ht="25.05" customHeight="1" x14ac:dyDescent="0.4">
      <c r="C622" s="274"/>
      <c r="D622" s="319"/>
      <c r="E622" s="319"/>
      <c r="F622" s="319"/>
    </row>
    <row r="623" spans="3:6" ht="25.05" customHeight="1" x14ac:dyDescent="0.4">
      <c r="C623" s="274"/>
      <c r="D623" s="319"/>
      <c r="E623" s="319"/>
      <c r="F623" s="319"/>
    </row>
    <row r="624" spans="3:6" ht="25.05" customHeight="1" x14ac:dyDescent="0.4">
      <c r="C624" s="274"/>
      <c r="D624" s="319"/>
      <c r="E624" s="319"/>
      <c r="F624" s="319"/>
    </row>
    <row r="625" spans="3:6" ht="25.05" customHeight="1" x14ac:dyDescent="0.4">
      <c r="C625" s="274"/>
      <c r="D625" s="319"/>
      <c r="E625" s="319"/>
      <c r="F625" s="319"/>
    </row>
    <row r="626" spans="3:6" ht="25.05" customHeight="1" x14ac:dyDescent="0.4">
      <c r="C626" s="274"/>
      <c r="D626" s="319"/>
      <c r="E626" s="319"/>
      <c r="F626" s="319"/>
    </row>
    <row r="627" spans="3:6" ht="25.05" customHeight="1" x14ac:dyDescent="0.4">
      <c r="C627" s="274"/>
      <c r="D627" s="319"/>
      <c r="E627" s="319"/>
      <c r="F627" s="319"/>
    </row>
    <row r="628" spans="3:6" ht="25.05" customHeight="1" x14ac:dyDescent="0.4">
      <c r="C628" s="274"/>
      <c r="D628" s="319"/>
      <c r="E628" s="319"/>
      <c r="F628" s="319"/>
    </row>
    <row r="629" spans="3:6" ht="25.05" customHeight="1" x14ac:dyDescent="0.4">
      <c r="C629" s="274"/>
      <c r="D629" s="319"/>
      <c r="E629" s="319"/>
      <c r="F629" s="319"/>
    </row>
    <row r="630" spans="3:6" ht="25.05" customHeight="1" x14ac:dyDescent="0.4">
      <c r="C630" s="274"/>
      <c r="D630" s="319"/>
      <c r="E630" s="319"/>
      <c r="F630" s="319"/>
    </row>
    <row r="631" spans="3:6" ht="25.05" customHeight="1" x14ac:dyDescent="0.4">
      <c r="C631" s="274"/>
      <c r="D631" s="319"/>
      <c r="E631" s="319"/>
      <c r="F631" s="319"/>
    </row>
    <row r="632" spans="3:6" ht="25.05" customHeight="1" x14ac:dyDescent="0.4">
      <c r="C632" s="274"/>
      <c r="D632" s="319"/>
      <c r="E632" s="319"/>
      <c r="F632" s="319"/>
    </row>
    <row r="633" spans="3:6" ht="25.05" customHeight="1" x14ac:dyDescent="0.4">
      <c r="C633" s="274"/>
      <c r="D633" s="319"/>
      <c r="E633" s="319"/>
      <c r="F633" s="319"/>
    </row>
    <row r="634" spans="3:6" ht="25.05" customHeight="1" x14ac:dyDescent="0.4">
      <c r="C634" s="274"/>
      <c r="D634" s="319"/>
      <c r="E634" s="319"/>
      <c r="F634" s="319"/>
    </row>
    <row r="635" spans="3:6" ht="25.05" customHeight="1" x14ac:dyDescent="0.4">
      <c r="C635" s="274"/>
      <c r="D635" s="319"/>
      <c r="E635" s="319"/>
      <c r="F635" s="319"/>
    </row>
    <row r="636" spans="3:6" ht="25.05" customHeight="1" x14ac:dyDescent="0.4">
      <c r="C636" s="274"/>
      <c r="D636" s="319"/>
      <c r="E636" s="319"/>
      <c r="F636" s="319"/>
    </row>
    <row r="637" spans="3:6" ht="25.05" customHeight="1" x14ac:dyDescent="0.4">
      <c r="C637" s="274"/>
      <c r="D637" s="319"/>
      <c r="E637" s="319"/>
      <c r="F637" s="319"/>
    </row>
    <row r="638" spans="3:6" ht="25.05" customHeight="1" x14ac:dyDescent="0.4">
      <c r="C638" s="274"/>
      <c r="D638" s="319"/>
      <c r="E638" s="319"/>
      <c r="F638" s="319"/>
    </row>
    <row r="639" spans="3:6" ht="25.05" customHeight="1" x14ac:dyDescent="0.4">
      <c r="C639" s="274"/>
      <c r="D639" s="319"/>
      <c r="E639" s="319"/>
      <c r="F639" s="319"/>
    </row>
    <row r="640" spans="3:6" ht="25.05" customHeight="1" x14ac:dyDescent="0.4">
      <c r="C640" s="274"/>
      <c r="D640" s="319"/>
      <c r="E640" s="319"/>
      <c r="F640" s="319"/>
    </row>
    <row r="641" spans="3:6" ht="25.05" customHeight="1" x14ac:dyDescent="0.4">
      <c r="C641" s="274"/>
      <c r="D641" s="319"/>
      <c r="E641" s="319"/>
      <c r="F641" s="319"/>
    </row>
    <row r="642" spans="3:6" ht="25.05" customHeight="1" x14ac:dyDescent="0.4">
      <c r="C642" s="274"/>
      <c r="D642" s="319"/>
      <c r="E642" s="319"/>
      <c r="F642" s="319"/>
    </row>
    <row r="643" spans="3:6" ht="25.05" customHeight="1" x14ac:dyDescent="0.4">
      <c r="C643" s="274"/>
      <c r="D643" s="319"/>
      <c r="E643" s="319"/>
      <c r="F643" s="319"/>
    </row>
    <row r="644" spans="3:6" ht="25.05" customHeight="1" x14ac:dyDescent="0.4">
      <c r="C644" s="274"/>
      <c r="D644" s="319"/>
      <c r="E644" s="319"/>
      <c r="F644" s="319"/>
    </row>
    <row r="645" spans="3:6" ht="25.05" customHeight="1" x14ac:dyDescent="0.4">
      <c r="C645" s="274"/>
      <c r="D645" s="319"/>
      <c r="E645" s="319"/>
      <c r="F645" s="319"/>
    </row>
    <row r="646" spans="3:6" ht="25.05" customHeight="1" x14ac:dyDescent="0.4">
      <c r="C646" s="274"/>
      <c r="D646" s="319"/>
      <c r="E646" s="319"/>
      <c r="F646" s="319"/>
    </row>
    <row r="647" spans="3:6" ht="25.05" customHeight="1" x14ac:dyDescent="0.4">
      <c r="C647" s="274"/>
      <c r="D647" s="319"/>
      <c r="E647" s="319"/>
      <c r="F647" s="319"/>
    </row>
    <row r="648" spans="3:6" ht="25.05" customHeight="1" x14ac:dyDescent="0.4">
      <c r="C648" s="274"/>
      <c r="D648" s="319"/>
      <c r="E648" s="319"/>
      <c r="F648" s="319"/>
    </row>
    <row r="649" spans="3:6" ht="25.05" customHeight="1" x14ac:dyDescent="0.4">
      <c r="C649" s="274"/>
      <c r="D649" s="319"/>
      <c r="E649" s="319"/>
      <c r="F649" s="319"/>
    </row>
    <row r="650" spans="3:6" ht="25.05" customHeight="1" x14ac:dyDescent="0.4">
      <c r="C650" s="274"/>
      <c r="D650" s="319"/>
      <c r="E650" s="319"/>
      <c r="F650" s="319"/>
    </row>
    <row r="651" spans="3:6" ht="25.05" customHeight="1" x14ac:dyDescent="0.4">
      <c r="C651" s="274"/>
      <c r="D651" s="319"/>
      <c r="E651" s="319"/>
      <c r="F651" s="319"/>
    </row>
    <row r="652" spans="3:6" ht="25.05" customHeight="1" x14ac:dyDescent="0.4">
      <c r="C652" s="274"/>
      <c r="D652" s="319"/>
      <c r="E652" s="319"/>
      <c r="F652" s="319"/>
    </row>
    <row r="653" spans="3:6" ht="25.05" customHeight="1" x14ac:dyDescent="0.4">
      <c r="C653" s="274"/>
      <c r="D653" s="319"/>
      <c r="E653" s="319"/>
      <c r="F653" s="319"/>
    </row>
    <row r="654" spans="3:6" ht="25.05" customHeight="1" x14ac:dyDescent="0.4">
      <c r="C654" s="274"/>
      <c r="D654" s="319"/>
      <c r="E654" s="319"/>
      <c r="F654" s="319"/>
    </row>
    <row r="655" spans="3:6" ht="25.05" customHeight="1" x14ac:dyDescent="0.4">
      <c r="C655" s="274"/>
      <c r="D655" s="319"/>
      <c r="E655" s="319"/>
      <c r="F655" s="319"/>
    </row>
    <row r="656" spans="3:6" ht="25.05" customHeight="1" x14ac:dyDescent="0.4">
      <c r="C656" s="274"/>
      <c r="D656" s="319"/>
      <c r="E656" s="319"/>
      <c r="F656" s="319"/>
    </row>
    <row r="657" spans="3:6" ht="25.05" customHeight="1" x14ac:dyDescent="0.4">
      <c r="C657" s="274"/>
      <c r="D657" s="319"/>
      <c r="E657" s="319"/>
      <c r="F657" s="319"/>
    </row>
    <row r="658" spans="3:6" ht="25.05" customHeight="1" x14ac:dyDescent="0.4">
      <c r="C658" s="274"/>
      <c r="D658" s="319"/>
      <c r="E658" s="319"/>
      <c r="F658" s="319"/>
    </row>
    <row r="659" spans="3:6" ht="25.05" customHeight="1" x14ac:dyDescent="0.4">
      <c r="C659" s="274"/>
      <c r="D659" s="319"/>
      <c r="E659" s="319"/>
      <c r="F659" s="319"/>
    </row>
    <row r="660" spans="3:6" ht="25.05" customHeight="1" x14ac:dyDescent="0.4">
      <c r="C660" s="274"/>
      <c r="D660" s="319"/>
      <c r="E660" s="319"/>
      <c r="F660" s="319"/>
    </row>
    <row r="661" spans="3:6" ht="25.05" customHeight="1" x14ac:dyDescent="0.4">
      <c r="C661" s="274"/>
      <c r="D661" s="319"/>
      <c r="E661" s="319"/>
      <c r="F661" s="319"/>
    </row>
    <row r="662" spans="3:6" ht="25.05" customHeight="1" x14ac:dyDescent="0.4">
      <c r="C662" s="274"/>
      <c r="D662" s="319"/>
      <c r="E662" s="319"/>
      <c r="F662" s="319"/>
    </row>
    <row r="663" spans="3:6" ht="25.05" customHeight="1" x14ac:dyDescent="0.4">
      <c r="C663" s="274"/>
      <c r="D663" s="319"/>
      <c r="E663" s="319"/>
      <c r="F663" s="319"/>
    </row>
    <row r="664" spans="3:6" ht="25.05" customHeight="1" x14ac:dyDescent="0.4">
      <c r="C664" s="274"/>
      <c r="D664" s="319"/>
      <c r="E664" s="319"/>
      <c r="F664" s="319"/>
    </row>
    <row r="665" spans="3:6" ht="25.05" customHeight="1" x14ac:dyDescent="0.4">
      <c r="C665" s="274"/>
      <c r="D665" s="319"/>
      <c r="E665" s="319"/>
      <c r="F665" s="319"/>
    </row>
    <row r="666" spans="3:6" ht="25.05" customHeight="1" x14ac:dyDescent="0.4">
      <c r="C666" s="274"/>
      <c r="D666" s="319"/>
      <c r="E666" s="319"/>
      <c r="F666" s="319"/>
    </row>
    <row r="667" spans="3:6" ht="25.05" customHeight="1" x14ac:dyDescent="0.4">
      <c r="C667" s="274"/>
      <c r="D667" s="319"/>
      <c r="E667" s="319"/>
      <c r="F667" s="319"/>
    </row>
    <row r="668" spans="3:6" ht="25.05" customHeight="1" x14ac:dyDescent="0.4">
      <c r="C668" s="274"/>
      <c r="D668" s="319"/>
      <c r="E668" s="319"/>
      <c r="F668" s="319"/>
    </row>
    <row r="669" spans="3:6" ht="25.05" customHeight="1" x14ac:dyDescent="0.4">
      <c r="C669" s="274"/>
      <c r="D669" s="319"/>
      <c r="E669" s="319"/>
      <c r="F669" s="319"/>
    </row>
    <row r="670" spans="3:6" ht="25.05" customHeight="1" x14ac:dyDescent="0.4">
      <c r="C670" s="274"/>
      <c r="D670" s="319"/>
      <c r="E670" s="319"/>
      <c r="F670" s="319"/>
    </row>
    <row r="671" spans="3:6" ht="25.05" customHeight="1" x14ac:dyDescent="0.4">
      <c r="C671" s="274"/>
      <c r="D671" s="319"/>
      <c r="E671" s="319"/>
      <c r="F671" s="319"/>
    </row>
    <row r="672" spans="3:6" ht="25.05" customHeight="1" x14ac:dyDescent="0.4">
      <c r="C672" s="274"/>
      <c r="D672" s="319"/>
      <c r="E672" s="319"/>
      <c r="F672" s="319"/>
    </row>
    <row r="673" spans="3:6" ht="25.05" customHeight="1" x14ac:dyDescent="0.4">
      <c r="C673" s="274"/>
      <c r="D673" s="319"/>
      <c r="E673" s="319"/>
      <c r="F673" s="319"/>
    </row>
    <row r="674" spans="3:6" ht="25.05" customHeight="1" x14ac:dyDescent="0.4">
      <c r="C674" s="274"/>
      <c r="D674" s="319"/>
      <c r="E674" s="319"/>
      <c r="F674" s="319"/>
    </row>
    <row r="675" spans="3:6" ht="25.05" customHeight="1" x14ac:dyDescent="0.4">
      <c r="C675" s="274"/>
      <c r="D675" s="319"/>
      <c r="E675" s="319"/>
      <c r="F675" s="319"/>
    </row>
    <row r="676" spans="3:6" ht="25.05" customHeight="1" x14ac:dyDescent="0.4">
      <c r="C676" s="274"/>
      <c r="D676" s="319"/>
      <c r="E676" s="319"/>
      <c r="F676" s="319"/>
    </row>
    <row r="677" spans="3:6" ht="25.05" customHeight="1" x14ac:dyDescent="0.4">
      <c r="C677" s="274"/>
      <c r="D677" s="319"/>
      <c r="E677" s="319"/>
      <c r="F677" s="319"/>
    </row>
    <row r="678" spans="3:6" ht="25.05" customHeight="1" x14ac:dyDescent="0.4">
      <c r="C678" s="274"/>
      <c r="D678" s="319"/>
      <c r="E678" s="319"/>
      <c r="F678" s="319"/>
    </row>
    <row r="679" spans="3:6" ht="25.05" customHeight="1" x14ac:dyDescent="0.4">
      <c r="C679" s="274"/>
      <c r="D679" s="319"/>
      <c r="E679" s="319"/>
      <c r="F679" s="319"/>
    </row>
    <row r="680" spans="3:6" ht="25.05" customHeight="1" x14ac:dyDescent="0.4">
      <c r="C680" s="274"/>
      <c r="D680" s="319"/>
      <c r="E680" s="319"/>
      <c r="F680" s="319"/>
    </row>
    <row r="681" spans="3:6" ht="25.05" customHeight="1" x14ac:dyDescent="0.4">
      <c r="C681" s="274"/>
      <c r="D681" s="319"/>
      <c r="E681" s="319"/>
      <c r="F681" s="319"/>
    </row>
    <row r="682" spans="3:6" ht="25.05" customHeight="1" x14ac:dyDescent="0.4">
      <c r="C682" s="274"/>
      <c r="D682" s="319"/>
      <c r="E682" s="319"/>
      <c r="F682" s="319"/>
    </row>
    <row r="683" spans="3:6" ht="25.05" customHeight="1" x14ac:dyDescent="0.4">
      <c r="C683" s="274"/>
      <c r="D683" s="319"/>
      <c r="E683" s="319"/>
      <c r="F683" s="319"/>
    </row>
    <row r="684" spans="3:6" ht="25.05" customHeight="1" x14ac:dyDescent="0.4">
      <c r="C684" s="274"/>
      <c r="D684" s="319"/>
      <c r="E684" s="319"/>
      <c r="F684" s="319"/>
    </row>
    <row r="685" spans="3:6" ht="25.05" customHeight="1" x14ac:dyDescent="0.4">
      <c r="C685" s="274"/>
      <c r="D685" s="319"/>
      <c r="E685" s="319"/>
      <c r="F685" s="319"/>
    </row>
    <row r="686" spans="3:6" ht="25.05" customHeight="1" x14ac:dyDescent="0.4">
      <c r="C686" s="274"/>
      <c r="D686" s="319"/>
      <c r="E686" s="319"/>
      <c r="F686" s="319"/>
    </row>
    <row r="687" spans="3:6" ht="25.05" customHeight="1" x14ac:dyDescent="0.4">
      <c r="C687" s="274"/>
      <c r="D687" s="319"/>
      <c r="E687" s="319"/>
      <c r="F687" s="319"/>
    </row>
    <row r="688" spans="3:6" ht="25.05" customHeight="1" x14ac:dyDescent="0.4">
      <c r="C688" s="274"/>
      <c r="D688" s="319"/>
      <c r="E688" s="319"/>
      <c r="F688" s="319"/>
    </row>
    <row r="689" spans="3:6" ht="25.05" customHeight="1" x14ac:dyDescent="0.4">
      <c r="C689" s="274"/>
      <c r="D689" s="319"/>
      <c r="E689" s="319"/>
      <c r="F689" s="319"/>
    </row>
    <row r="690" spans="3:6" ht="25.05" customHeight="1" x14ac:dyDescent="0.4">
      <c r="C690" s="274"/>
      <c r="D690" s="319"/>
      <c r="E690" s="319"/>
      <c r="F690" s="319"/>
    </row>
    <row r="691" spans="3:6" ht="25.05" customHeight="1" x14ac:dyDescent="0.4">
      <c r="C691" s="274"/>
      <c r="D691" s="319"/>
      <c r="E691" s="319"/>
      <c r="F691" s="319"/>
    </row>
    <row r="692" spans="3:6" ht="25.05" customHeight="1" x14ac:dyDescent="0.4">
      <c r="C692" s="274"/>
      <c r="D692" s="319"/>
      <c r="E692" s="319"/>
      <c r="F692" s="319"/>
    </row>
    <row r="693" spans="3:6" ht="25.05" customHeight="1" x14ac:dyDescent="0.4">
      <c r="C693" s="274"/>
      <c r="D693" s="319"/>
      <c r="E693" s="319"/>
      <c r="F693" s="319"/>
    </row>
    <row r="694" spans="3:6" ht="25.05" customHeight="1" x14ac:dyDescent="0.4">
      <c r="C694" s="274"/>
      <c r="D694" s="319"/>
      <c r="E694" s="319"/>
      <c r="F694" s="319"/>
    </row>
    <row r="695" spans="3:6" ht="25.05" customHeight="1" x14ac:dyDescent="0.4">
      <c r="C695" s="274"/>
      <c r="D695" s="319"/>
      <c r="E695" s="319"/>
      <c r="F695" s="319"/>
    </row>
    <row r="696" spans="3:6" ht="25.05" customHeight="1" x14ac:dyDescent="0.4">
      <c r="C696" s="274"/>
      <c r="D696" s="319"/>
      <c r="E696" s="319"/>
      <c r="F696" s="319"/>
    </row>
    <row r="697" spans="3:6" ht="25.05" customHeight="1" x14ac:dyDescent="0.4">
      <c r="C697" s="274"/>
      <c r="D697" s="319"/>
      <c r="E697" s="319"/>
      <c r="F697" s="319"/>
    </row>
    <row r="698" spans="3:6" ht="25.05" customHeight="1" x14ac:dyDescent="0.4">
      <c r="C698" s="274"/>
      <c r="D698" s="319"/>
      <c r="E698" s="319"/>
      <c r="F698" s="319"/>
    </row>
    <row r="699" spans="3:6" ht="25.05" customHeight="1" x14ac:dyDescent="0.4">
      <c r="C699" s="274"/>
      <c r="D699" s="319"/>
      <c r="E699" s="319"/>
      <c r="F699" s="319"/>
    </row>
    <row r="700" spans="3:6" ht="25.05" customHeight="1" x14ac:dyDescent="0.4">
      <c r="C700" s="274"/>
      <c r="D700" s="319"/>
      <c r="E700" s="319"/>
      <c r="F700" s="319"/>
    </row>
    <row r="701" spans="3:6" ht="25.05" customHeight="1" x14ac:dyDescent="0.4">
      <c r="C701" s="274"/>
      <c r="D701" s="319"/>
      <c r="E701" s="319"/>
      <c r="F701" s="319"/>
    </row>
    <row r="702" spans="3:6" ht="25.05" customHeight="1" x14ac:dyDescent="0.4">
      <c r="C702" s="274"/>
      <c r="D702" s="319"/>
      <c r="E702" s="319"/>
      <c r="F702" s="319"/>
    </row>
    <row r="703" spans="3:6" ht="25.05" customHeight="1" x14ac:dyDescent="0.4">
      <c r="C703" s="274"/>
      <c r="D703" s="319"/>
      <c r="E703" s="319"/>
      <c r="F703" s="319"/>
    </row>
    <row r="704" spans="3:6" ht="25.05" customHeight="1" x14ac:dyDescent="0.4">
      <c r="C704" s="274"/>
      <c r="D704" s="319"/>
      <c r="E704" s="319"/>
      <c r="F704" s="319"/>
    </row>
    <row r="705" spans="3:6" ht="25.05" customHeight="1" x14ac:dyDescent="0.4">
      <c r="C705" s="274"/>
      <c r="D705" s="319"/>
      <c r="E705" s="319"/>
      <c r="F705" s="319"/>
    </row>
    <row r="706" spans="3:6" ht="25.05" customHeight="1" x14ac:dyDescent="0.4">
      <c r="C706" s="274"/>
      <c r="D706" s="319"/>
      <c r="E706" s="319"/>
      <c r="F706" s="319"/>
    </row>
    <row r="707" spans="3:6" ht="25.05" customHeight="1" x14ac:dyDescent="0.4">
      <c r="C707" s="274"/>
      <c r="D707" s="319"/>
      <c r="E707" s="319"/>
      <c r="F707" s="319"/>
    </row>
    <row r="708" spans="3:6" ht="25.05" customHeight="1" x14ac:dyDescent="0.4">
      <c r="C708" s="274"/>
      <c r="D708" s="319"/>
      <c r="E708" s="319"/>
      <c r="F708" s="319"/>
    </row>
    <row r="709" spans="3:6" ht="25.05" customHeight="1" x14ac:dyDescent="0.4">
      <c r="C709" s="274"/>
      <c r="D709" s="319"/>
      <c r="E709" s="319"/>
      <c r="F709" s="319"/>
    </row>
    <row r="710" spans="3:6" ht="25.05" customHeight="1" x14ac:dyDescent="0.4">
      <c r="C710" s="274"/>
      <c r="D710" s="319"/>
      <c r="E710" s="319"/>
      <c r="F710" s="319"/>
    </row>
    <row r="711" spans="3:6" ht="25.05" customHeight="1" x14ac:dyDescent="0.4">
      <c r="C711" s="274"/>
      <c r="D711" s="319"/>
      <c r="E711" s="319"/>
      <c r="F711" s="319"/>
    </row>
    <row r="712" spans="3:6" ht="25.05" customHeight="1" x14ac:dyDescent="0.4">
      <c r="C712" s="274"/>
      <c r="D712" s="319"/>
      <c r="E712" s="319"/>
      <c r="F712" s="319"/>
    </row>
    <row r="713" spans="3:6" ht="25.05" customHeight="1" x14ac:dyDescent="0.4">
      <c r="C713" s="274"/>
      <c r="D713" s="319"/>
      <c r="E713" s="319"/>
      <c r="F713" s="319"/>
    </row>
    <row r="714" spans="3:6" ht="25.05" customHeight="1" x14ac:dyDescent="0.4">
      <c r="C714" s="274"/>
      <c r="D714" s="319"/>
      <c r="E714" s="319"/>
      <c r="F714" s="319"/>
    </row>
    <row r="715" spans="3:6" ht="25.05" customHeight="1" x14ac:dyDescent="0.4">
      <c r="C715" s="274"/>
      <c r="D715" s="319"/>
      <c r="E715" s="319"/>
      <c r="F715" s="319"/>
    </row>
    <row r="716" spans="3:6" ht="25.05" customHeight="1" x14ac:dyDescent="0.4">
      <c r="C716" s="274"/>
      <c r="D716" s="319"/>
      <c r="E716" s="319"/>
      <c r="F716" s="319"/>
    </row>
    <row r="717" spans="3:6" ht="25.05" customHeight="1" x14ac:dyDescent="0.4">
      <c r="C717" s="274"/>
      <c r="D717" s="319"/>
      <c r="E717" s="319"/>
      <c r="F717" s="319"/>
    </row>
    <row r="718" spans="3:6" ht="25.05" customHeight="1" x14ac:dyDescent="0.4">
      <c r="C718" s="274"/>
      <c r="D718" s="319"/>
      <c r="E718" s="319"/>
      <c r="F718" s="319"/>
    </row>
    <row r="719" spans="3:6" ht="25.05" customHeight="1" x14ac:dyDescent="0.4">
      <c r="C719" s="274"/>
      <c r="D719" s="319"/>
      <c r="E719" s="319"/>
      <c r="F719" s="319"/>
    </row>
    <row r="720" spans="3:6" ht="25.05" customHeight="1" x14ac:dyDescent="0.4">
      <c r="C720" s="274"/>
      <c r="D720" s="319"/>
      <c r="E720" s="319"/>
      <c r="F720" s="319"/>
    </row>
    <row r="721" spans="3:6" ht="25.05" customHeight="1" x14ac:dyDescent="0.4">
      <c r="C721" s="274"/>
      <c r="D721" s="319"/>
      <c r="E721" s="319"/>
      <c r="F721" s="319"/>
    </row>
    <row r="722" spans="3:6" ht="25.05" customHeight="1" x14ac:dyDescent="0.4">
      <c r="C722" s="274"/>
      <c r="D722" s="319"/>
      <c r="E722" s="319"/>
      <c r="F722" s="319"/>
    </row>
    <row r="723" spans="3:6" ht="25.05" customHeight="1" x14ac:dyDescent="0.4">
      <c r="C723" s="274"/>
      <c r="D723" s="319"/>
      <c r="E723" s="319"/>
      <c r="F723" s="319"/>
    </row>
    <row r="724" spans="3:6" ht="25.05" customHeight="1" x14ac:dyDescent="0.4">
      <c r="C724" s="274"/>
      <c r="D724" s="319"/>
      <c r="E724" s="319"/>
      <c r="F724" s="319"/>
    </row>
    <row r="725" spans="3:6" ht="25.05" customHeight="1" x14ac:dyDescent="0.4">
      <c r="C725" s="274"/>
      <c r="D725" s="319"/>
      <c r="E725" s="319"/>
      <c r="F725" s="319"/>
    </row>
    <row r="726" spans="3:6" ht="25.05" customHeight="1" x14ac:dyDescent="0.4">
      <c r="C726" s="274"/>
      <c r="D726" s="319"/>
      <c r="E726" s="319"/>
      <c r="F726" s="319"/>
    </row>
    <row r="727" spans="3:6" ht="25.05" customHeight="1" x14ac:dyDescent="0.4">
      <c r="C727" s="274"/>
      <c r="D727" s="319"/>
      <c r="E727" s="319"/>
      <c r="F727" s="319"/>
    </row>
    <row r="728" spans="3:6" ht="25.05" customHeight="1" x14ac:dyDescent="0.4">
      <c r="C728" s="274"/>
      <c r="D728" s="319"/>
      <c r="E728" s="319"/>
      <c r="F728" s="319"/>
    </row>
    <row r="729" spans="3:6" ht="25.05" customHeight="1" x14ac:dyDescent="0.4">
      <c r="C729" s="274"/>
      <c r="D729" s="319"/>
      <c r="E729" s="319"/>
      <c r="F729" s="319"/>
    </row>
    <row r="730" spans="3:6" ht="25.05" customHeight="1" x14ac:dyDescent="0.4">
      <c r="C730" s="274"/>
      <c r="D730" s="319"/>
      <c r="E730" s="319"/>
      <c r="F730" s="319"/>
    </row>
    <row r="731" spans="3:6" ht="25.05" customHeight="1" x14ac:dyDescent="0.4">
      <c r="C731" s="274"/>
      <c r="D731" s="319"/>
      <c r="E731" s="319"/>
      <c r="F731" s="319"/>
    </row>
    <row r="732" spans="3:6" ht="25.05" customHeight="1" x14ac:dyDescent="0.4">
      <c r="C732" s="274"/>
      <c r="D732" s="319"/>
      <c r="E732" s="319"/>
      <c r="F732" s="319"/>
    </row>
    <row r="733" spans="3:6" ht="25.05" customHeight="1" x14ac:dyDescent="0.4">
      <c r="C733" s="274"/>
      <c r="D733" s="319"/>
      <c r="E733" s="319"/>
      <c r="F733" s="319"/>
    </row>
    <row r="734" spans="3:6" ht="25.05" customHeight="1" x14ac:dyDescent="0.4">
      <c r="C734" s="274"/>
      <c r="D734" s="319"/>
      <c r="E734" s="319"/>
      <c r="F734" s="319"/>
    </row>
    <row r="735" spans="3:6" ht="25.05" customHeight="1" x14ac:dyDescent="0.4">
      <c r="C735" s="274"/>
      <c r="D735" s="319"/>
      <c r="E735" s="319"/>
      <c r="F735" s="319"/>
    </row>
    <row r="736" spans="3:6" ht="25.05" customHeight="1" x14ac:dyDescent="0.4">
      <c r="C736" s="274"/>
      <c r="D736" s="319"/>
      <c r="E736" s="319"/>
      <c r="F736" s="319"/>
    </row>
    <row r="737" spans="3:6" ht="25.05" customHeight="1" x14ac:dyDescent="0.4">
      <c r="C737" s="274"/>
      <c r="D737" s="319"/>
      <c r="E737" s="319"/>
      <c r="F737" s="319"/>
    </row>
    <row r="738" spans="3:6" ht="25.05" customHeight="1" x14ac:dyDescent="0.4">
      <c r="C738" s="274"/>
      <c r="D738" s="319"/>
      <c r="E738" s="319"/>
      <c r="F738" s="319"/>
    </row>
    <row r="739" spans="3:6" ht="25.05" customHeight="1" x14ac:dyDescent="0.4">
      <c r="C739" s="274"/>
      <c r="D739" s="319"/>
      <c r="E739" s="319"/>
      <c r="F739" s="319"/>
    </row>
    <row r="740" spans="3:6" ht="25.05" customHeight="1" x14ac:dyDescent="0.4">
      <c r="C740" s="274"/>
      <c r="D740" s="319"/>
      <c r="E740" s="319"/>
      <c r="F740" s="319"/>
    </row>
    <row r="741" spans="3:6" ht="25.05" customHeight="1" x14ac:dyDescent="0.4">
      <c r="C741" s="274"/>
      <c r="D741" s="319"/>
      <c r="E741" s="319"/>
      <c r="F741" s="319"/>
    </row>
    <row r="742" spans="3:6" ht="25.05" customHeight="1" x14ac:dyDescent="0.4">
      <c r="C742" s="274"/>
      <c r="D742" s="319"/>
      <c r="E742" s="319"/>
      <c r="F742" s="319"/>
    </row>
    <row r="743" spans="3:6" ht="25.05" customHeight="1" x14ac:dyDescent="0.4">
      <c r="C743" s="274"/>
      <c r="D743" s="319"/>
      <c r="E743" s="319"/>
      <c r="F743" s="319"/>
    </row>
    <row r="744" spans="3:6" ht="25.05" customHeight="1" x14ac:dyDescent="0.4">
      <c r="C744" s="274"/>
      <c r="D744" s="319"/>
      <c r="E744" s="319"/>
      <c r="F744" s="319"/>
    </row>
    <row r="745" spans="3:6" ht="25.05" customHeight="1" x14ac:dyDescent="0.4">
      <c r="C745" s="274"/>
      <c r="D745" s="319"/>
      <c r="E745" s="319"/>
      <c r="F745" s="319"/>
    </row>
    <row r="746" spans="3:6" ht="25.05" customHeight="1" x14ac:dyDescent="0.4">
      <c r="C746" s="274"/>
      <c r="D746" s="319"/>
      <c r="E746" s="319"/>
      <c r="F746" s="319"/>
    </row>
    <row r="747" spans="3:6" ht="25.05" customHeight="1" x14ac:dyDescent="0.4">
      <c r="C747" s="274"/>
      <c r="D747" s="319"/>
      <c r="E747" s="319"/>
      <c r="F747" s="319"/>
    </row>
    <row r="748" spans="3:6" ht="25.05" customHeight="1" x14ac:dyDescent="0.4">
      <c r="C748" s="274"/>
      <c r="D748" s="319"/>
      <c r="E748" s="319"/>
      <c r="F748" s="319"/>
    </row>
    <row r="749" spans="3:6" ht="25.05" customHeight="1" x14ac:dyDescent="0.4">
      <c r="C749" s="274"/>
      <c r="D749" s="319"/>
      <c r="E749" s="319"/>
      <c r="F749" s="319"/>
    </row>
    <row r="750" spans="3:6" ht="25.05" customHeight="1" x14ac:dyDescent="0.4">
      <c r="C750" s="274"/>
      <c r="D750" s="319"/>
      <c r="E750" s="319"/>
      <c r="F750" s="319"/>
    </row>
    <row r="751" spans="3:6" ht="25.05" customHeight="1" x14ac:dyDescent="0.4">
      <c r="C751" s="274"/>
      <c r="D751" s="319"/>
      <c r="E751" s="319"/>
      <c r="F751" s="319"/>
    </row>
    <row r="752" spans="3:6" ht="25.05" customHeight="1" x14ac:dyDescent="0.4">
      <c r="C752" s="274"/>
      <c r="D752" s="319"/>
      <c r="E752" s="319"/>
      <c r="F752" s="319"/>
    </row>
    <row r="753" spans="3:6" ht="25.05" customHeight="1" x14ac:dyDescent="0.4">
      <c r="C753" s="274"/>
      <c r="D753" s="319"/>
      <c r="E753" s="319"/>
      <c r="F753" s="319"/>
    </row>
    <row r="754" spans="3:6" ht="25.05" customHeight="1" x14ac:dyDescent="0.4">
      <c r="C754" s="274"/>
      <c r="D754" s="319"/>
      <c r="E754" s="319"/>
      <c r="F754" s="319"/>
    </row>
    <row r="755" spans="3:6" ht="25.05" customHeight="1" x14ac:dyDescent="0.4">
      <c r="C755" s="274"/>
      <c r="D755" s="319"/>
      <c r="E755" s="319"/>
      <c r="F755" s="319"/>
    </row>
    <row r="756" spans="3:6" ht="25.05" customHeight="1" x14ac:dyDescent="0.4">
      <c r="C756" s="274"/>
      <c r="D756" s="319"/>
      <c r="E756" s="319"/>
      <c r="F756" s="319"/>
    </row>
    <row r="757" spans="3:6" ht="25.05" customHeight="1" x14ac:dyDescent="0.4">
      <c r="C757" s="274"/>
      <c r="D757" s="319"/>
      <c r="E757" s="319"/>
      <c r="F757" s="319"/>
    </row>
    <row r="758" spans="3:6" ht="25.05" customHeight="1" x14ac:dyDescent="0.4">
      <c r="C758" s="274"/>
      <c r="D758" s="319"/>
      <c r="E758" s="319"/>
      <c r="F758" s="319"/>
    </row>
    <row r="759" spans="3:6" ht="25.05" customHeight="1" x14ac:dyDescent="0.4">
      <c r="C759" s="274"/>
      <c r="D759" s="319"/>
      <c r="E759" s="319"/>
      <c r="F759" s="319"/>
    </row>
    <row r="760" spans="3:6" ht="25.05" customHeight="1" x14ac:dyDescent="0.4">
      <c r="C760" s="274"/>
      <c r="D760" s="319"/>
      <c r="E760" s="319"/>
      <c r="F760" s="319"/>
    </row>
    <row r="761" spans="3:6" ht="25.05" customHeight="1" x14ac:dyDescent="0.4">
      <c r="C761" s="274"/>
      <c r="D761" s="319"/>
      <c r="E761" s="319"/>
      <c r="F761" s="319"/>
    </row>
    <row r="762" spans="3:6" ht="25.05" customHeight="1" x14ac:dyDescent="0.4">
      <c r="C762" s="274"/>
      <c r="D762" s="319"/>
      <c r="E762" s="319"/>
      <c r="F762" s="319"/>
    </row>
    <row r="763" spans="3:6" ht="25.05" customHeight="1" x14ac:dyDescent="0.4">
      <c r="C763" s="274"/>
      <c r="D763" s="319"/>
      <c r="E763" s="319"/>
      <c r="F763" s="319"/>
    </row>
    <row r="764" spans="3:6" ht="25.05" customHeight="1" x14ac:dyDescent="0.4">
      <c r="C764" s="274"/>
      <c r="D764" s="319"/>
      <c r="E764" s="319"/>
      <c r="F764" s="319"/>
    </row>
    <row r="765" spans="3:6" ht="25.05" customHeight="1" x14ac:dyDescent="0.4">
      <c r="C765" s="274"/>
      <c r="D765" s="319"/>
      <c r="E765" s="319"/>
      <c r="F765" s="319"/>
    </row>
    <row r="766" spans="3:6" ht="25.05" customHeight="1" x14ac:dyDescent="0.4">
      <c r="C766" s="274"/>
      <c r="D766" s="319"/>
      <c r="E766" s="319"/>
      <c r="F766" s="319"/>
    </row>
    <row r="767" spans="3:6" ht="25.05" customHeight="1" x14ac:dyDescent="0.4">
      <c r="C767" s="274"/>
      <c r="D767" s="319"/>
      <c r="E767" s="319"/>
      <c r="F767" s="319"/>
    </row>
    <row r="768" spans="3:6" ht="25.05" customHeight="1" x14ac:dyDescent="0.4">
      <c r="C768" s="274"/>
      <c r="D768" s="319"/>
      <c r="E768" s="319"/>
      <c r="F768" s="319"/>
    </row>
    <row r="769" spans="3:6" ht="25.05" customHeight="1" x14ac:dyDescent="0.4">
      <c r="C769" s="274"/>
      <c r="D769" s="319"/>
      <c r="E769" s="319"/>
      <c r="F769" s="319"/>
    </row>
    <row r="770" spans="3:6" ht="25.05" customHeight="1" x14ac:dyDescent="0.4">
      <c r="C770" s="274"/>
      <c r="D770" s="319"/>
      <c r="E770" s="319"/>
      <c r="F770" s="319"/>
    </row>
    <row r="771" spans="3:6" ht="25.05" customHeight="1" x14ac:dyDescent="0.4">
      <c r="C771" s="274"/>
      <c r="D771" s="319"/>
      <c r="E771" s="319"/>
      <c r="F771" s="319"/>
    </row>
    <row r="772" spans="3:6" ht="25.05" customHeight="1" x14ac:dyDescent="0.4">
      <c r="C772" s="274"/>
      <c r="D772" s="319"/>
      <c r="E772" s="319"/>
      <c r="F772" s="319"/>
    </row>
    <row r="773" spans="3:6" ht="25.05" customHeight="1" x14ac:dyDescent="0.4">
      <c r="C773" s="274"/>
      <c r="D773" s="319"/>
      <c r="E773" s="319"/>
      <c r="F773" s="319"/>
    </row>
    <row r="774" spans="3:6" ht="25.05" customHeight="1" x14ac:dyDescent="0.4">
      <c r="C774" s="274"/>
      <c r="D774" s="319"/>
      <c r="E774" s="319"/>
      <c r="F774" s="319"/>
    </row>
    <row r="775" spans="3:6" ht="25.05" customHeight="1" x14ac:dyDescent="0.4">
      <c r="C775" s="274"/>
      <c r="D775" s="319"/>
      <c r="E775" s="319"/>
      <c r="F775" s="319"/>
    </row>
    <row r="776" spans="3:6" ht="25.05" customHeight="1" x14ac:dyDescent="0.4">
      <c r="C776" s="274"/>
      <c r="D776" s="319"/>
      <c r="E776" s="319"/>
      <c r="F776" s="319"/>
    </row>
    <row r="777" spans="3:6" ht="25.05" customHeight="1" x14ac:dyDescent="0.4">
      <c r="C777" s="274"/>
      <c r="D777" s="319"/>
      <c r="E777" s="319"/>
      <c r="F777" s="319"/>
    </row>
    <row r="778" spans="3:6" ht="25.05" customHeight="1" x14ac:dyDescent="0.4">
      <c r="C778" s="274"/>
      <c r="D778" s="319"/>
      <c r="E778" s="319"/>
      <c r="F778" s="319"/>
    </row>
    <row r="779" spans="3:6" ht="25.05" customHeight="1" x14ac:dyDescent="0.4">
      <c r="C779" s="274"/>
      <c r="D779" s="319"/>
      <c r="E779" s="319"/>
      <c r="F779" s="319"/>
    </row>
    <row r="780" spans="3:6" ht="25.05" customHeight="1" x14ac:dyDescent="0.4">
      <c r="C780" s="274"/>
      <c r="D780" s="319"/>
      <c r="E780" s="319"/>
      <c r="F780" s="319"/>
    </row>
    <row r="781" spans="3:6" ht="25.05" customHeight="1" x14ac:dyDescent="0.4">
      <c r="C781" s="274"/>
      <c r="D781" s="319"/>
      <c r="E781" s="319"/>
      <c r="F781" s="319"/>
    </row>
    <row r="782" spans="3:6" ht="25.05" customHeight="1" x14ac:dyDescent="0.4">
      <c r="C782" s="274"/>
      <c r="D782" s="319"/>
      <c r="E782" s="319"/>
      <c r="F782" s="319"/>
    </row>
    <row r="783" spans="3:6" ht="25.05" customHeight="1" x14ac:dyDescent="0.4">
      <c r="C783" s="274"/>
      <c r="D783" s="319"/>
      <c r="E783" s="319"/>
      <c r="F783" s="319"/>
    </row>
    <row r="784" spans="3:6" ht="25.05" customHeight="1" x14ac:dyDescent="0.4">
      <c r="C784" s="274"/>
      <c r="D784" s="319"/>
      <c r="E784" s="319"/>
      <c r="F784" s="319"/>
    </row>
    <row r="785" spans="3:6" ht="25.05" customHeight="1" x14ac:dyDescent="0.4">
      <c r="C785" s="274"/>
      <c r="D785" s="319"/>
      <c r="E785" s="319"/>
      <c r="F785" s="319"/>
    </row>
    <row r="786" spans="3:6" ht="25.05" customHeight="1" x14ac:dyDescent="0.4">
      <c r="C786" s="274"/>
      <c r="D786" s="319"/>
      <c r="E786" s="319"/>
      <c r="F786" s="319"/>
    </row>
    <row r="787" spans="3:6" ht="25.05" customHeight="1" x14ac:dyDescent="0.4">
      <c r="C787" s="274"/>
      <c r="D787" s="319"/>
      <c r="E787" s="319"/>
      <c r="F787" s="319"/>
    </row>
    <row r="788" spans="3:6" ht="25.05" customHeight="1" x14ac:dyDescent="0.4">
      <c r="C788" s="274"/>
      <c r="D788" s="319"/>
      <c r="E788" s="319"/>
      <c r="F788" s="319"/>
    </row>
    <row r="789" spans="3:6" ht="25.05" customHeight="1" x14ac:dyDescent="0.4">
      <c r="C789" s="274"/>
      <c r="D789" s="319"/>
      <c r="E789" s="319"/>
      <c r="F789" s="319"/>
    </row>
    <row r="790" spans="3:6" ht="25.05" customHeight="1" x14ac:dyDescent="0.4">
      <c r="C790" s="274"/>
      <c r="D790" s="319"/>
      <c r="E790" s="319"/>
      <c r="F790" s="319"/>
    </row>
    <row r="791" spans="3:6" ht="25.05" customHeight="1" x14ac:dyDescent="0.4">
      <c r="C791" s="274"/>
      <c r="D791" s="319"/>
      <c r="E791" s="319"/>
      <c r="F791" s="319"/>
    </row>
    <row r="792" spans="3:6" ht="25.05" customHeight="1" x14ac:dyDescent="0.4">
      <c r="C792" s="274"/>
      <c r="D792" s="319"/>
      <c r="E792" s="319"/>
      <c r="F792" s="319"/>
    </row>
    <row r="793" spans="3:6" ht="25.05" customHeight="1" x14ac:dyDescent="0.4">
      <c r="C793" s="274"/>
      <c r="D793" s="319"/>
      <c r="E793" s="319"/>
      <c r="F793" s="319"/>
    </row>
    <row r="794" spans="3:6" ht="25.05" customHeight="1" x14ac:dyDescent="0.4">
      <c r="C794" s="274"/>
      <c r="D794" s="319"/>
      <c r="E794" s="319"/>
      <c r="F794" s="319"/>
    </row>
    <row r="795" spans="3:6" ht="25.05" customHeight="1" x14ac:dyDescent="0.4">
      <c r="C795" s="274"/>
      <c r="D795" s="319"/>
      <c r="E795" s="319"/>
      <c r="F795" s="319"/>
    </row>
    <row r="796" spans="3:6" ht="25.05" customHeight="1" x14ac:dyDescent="0.4">
      <c r="C796" s="274"/>
      <c r="D796" s="319"/>
      <c r="E796" s="319"/>
      <c r="F796" s="319"/>
    </row>
    <row r="797" spans="3:6" ht="25.05" customHeight="1" x14ac:dyDescent="0.4">
      <c r="C797" s="274"/>
      <c r="D797" s="319"/>
      <c r="E797" s="319"/>
      <c r="F797" s="319"/>
    </row>
    <row r="798" spans="3:6" ht="25.05" customHeight="1" x14ac:dyDescent="0.4">
      <c r="C798" s="274"/>
      <c r="D798" s="319"/>
      <c r="E798" s="319"/>
      <c r="F798" s="319"/>
    </row>
    <row r="799" spans="3:6" ht="25.05" customHeight="1" x14ac:dyDescent="0.4">
      <c r="C799" s="274"/>
      <c r="D799" s="319"/>
      <c r="E799" s="319"/>
      <c r="F799" s="319"/>
    </row>
    <row r="800" spans="3:6" ht="25.05" customHeight="1" x14ac:dyDescent="0.4">
      <c r="C800" s="274"/>
      <c r="D800" s="319"/>
      <c r="E800" s="319"/>
      <c r="F800" s="319"/>
    </row>
    <row r="801" spans="3:6" ht="25.05" customHeight="1" x14ac:dyDescent="0.4">
      <c r="C801" s="274"/>
      <c r="D801" s="319"/>
      <c r="E801" s="319"/>
      <c r="F801" s="319"/>
    </row>
    <row r="802" spans="3:6" ht="25.05" customHeight="1" x14ac:dyDescent="0.4">
      <c r="C802" s="274"/>
      <c r="D802" s="319"/>
      <c r="E802" s="319"/>
      <c r="F802" s="319"/>
    </row>
    <row r="803" spans="3:6" ht="25.05" customHeight="1" x14ac:dyDescent="0.4">
      <c r="C803" s="274"/>
      <c r="D803" s="319"/>
      <c r="E803" s="319"/>
      <c r="F803" s="319"/>
    </row>
    <row r="804" spans="3:6" ht="25.05" customHeight="1" x14ac:dyDescent="0.4">
      <c r="C804" s="274"/>
      <c r="D804" s="319"/>
      <c r="E804" s="319"/>
      <c r="F804" s="319"/>
    </row>
    <row r="805" spans="3:6" ht="25.05" customHeight="1" x14ac:dyDescent="0.4">
      <c r="C805" s="274"/>
      <c r="D805" s="319"/>
      <c r="E805" s="319"/>
      <c r="F805" s="319"/>
    </row>
    <row r="806" spans="3:6" ht="25.05" customHeight="1" x14ac:dyDescent="0.4">
      <c r="C806" s="274"/>
      <c r="D806" s="319"/>
      <c r="E806" s="319"/>
      <c r="F806" s="319"/>
    </row>
    <row r="807" spans="3:6" ht="25.05" customHeight="1" x14ac:dyDescent="0.4">
      <c r="C807" s="274"/>
      <c r="D807" s="319"/>
      <c r="E807" s="319"/>
      <c r="F807" s="319"/>
    </row>
    <row r="808" spans="3:6" ht="25.05" customHeight="1" x14ac:dyDescent="0.4">
      <c r="C808" s="274"/>
      <c r="D808" s="319"/>
      <c r="E808" s="319"/>
      <c r="F808" s="319"/>
    </row>
    <row r="809" spans="3:6" ht="25.05" customHeight="1" x14ac:dyDescent="0.4">
      <c r="C809" s="274"/>
      <c r="D809" s="319"/>
      <c r="E809" s="319"/>
      <c r="F809" s="319"/>
    </row>
    <row r="810" spans="3:6" ht="25.05" customHeight="1" x14ac:dyDescent="0.4">
      <c r="C810" s="274"/>
      <c r="D810" s="319"/>
      <c r="E810" s="319"/>
      <c r="F810" s="319"/>
    </row>
    <row r="811" spans="3:6" ht="25.05" customHeight="1" x14ac:dyDescent="0.4">
      <c r="C811" s="274"/>
      <c r="D811" s="319"/>
      <c r="E811" s="319"/>
      <c r="F811" s="319"/>
    </row>
    <row r="812" spans="3:6" ht="25.05" customHeight="1" x14ac:dyDescent="0.4">
      <c r="C812" s="274"/>
      <c r="D812" s="319"/>
      <c r="E812" s="319"/>
      <c r="F812" s="319"/>
    </row>
    <row r="813" spans="3:6" ht="25.05" customHeight="1" x14ac:dyDescent="0.4">
      <c r="C813" s="274"/>
      <c r="D813" s="319"/>
      <c r="E813" s="319"/>
      <c r="F813" s="319"/>
    </row>
    <row r="814" spans="3:6" ht="25.05" customHeight="1" x14ac:dyDescent="0.4">
      <c r="C814" s="274"/>
      <c r="D814" s="319"/>
      <c r="E814" s="319"/>
      <c r="F814" s="319"/>
    </row>
    <row r="815" spans="3:6" ht="25.05" customHeight="1" x14ac:dyDescent="0.4">
      <c r="C815" s="274"/>
      <c r="D815" s="319"/>
      <c r="E815" s="319"/>
      <c r="F815" s="319"/>
    </row>
    <row r="816" spans="3:6" ht="25.05" customHeight="1" x14ac:dyDescent="0.4">
      <c r="C816" s="274"/>
      <c r="D816" s="319"/>
      <c r="E816" s="319"/>
      <c r="F816" s="319"/>
    </row>
    <row r="817" spans="3:6" ht="25.05" customHeight="1" x14ac:dyDescent="0.4">
      <c r="C817" s="274"/>
      <c r="D817" s="319"/>
      <c r="E817" s="319"/>
      <c r="F817" s="319"/>
    </row>
    <row r="818" spans="3:6" ht="25.05" customHeight="1" x14ac:dyDescent="0.4">
      <c r="C818" s="274"/>
      <c r="D818" s="319"/>
      <c r="E818" s="319"/>
      <c r="F818" s="319"/>
    </row>
    <row r="819" spans="3:6" ht="25.05" customHeight="1" x14ac:dyDescent="0.4">
      <c r="C819" s="274"/>
      <c r="D819" s="319"/>
      <c r="E819" s="319"/>
      <c r="F819" s="319"/>
    </row>
    <row r="820" spans="3:6" ht="25.05" customHeight="1" x14ac:dyDescent="0.4">
      <c r="C820" s="274"/>
      <c r="D820" s="319"/>
      <c r="E820" s="319"/>
      <c r="F820" s="319"/>
    </row>
    <row r="821" spans="3:6" ht="25.05" customHeight="1" x14ac:dyDescent="0.4">
      <c r="C821" s="274"/>
      <c r="D821" s="319"/>
      <c r="E821" s="319"/>
      <c r="F821" s="319"/>
    </row>
    <row r="822" spans="3:6" ht="25.05" customHeight="1" x14ac:dyDescent="0.4">
      <c r="C822" s="274"/>
      <c r="D822" s="319"/>
      <c r="E822" s="319"/>
      <c r="F822" s="319"/>
    </row>
    <row r="823" spans="3:6" ht="25.05" customHeight="1" x14ac:dyDescent="0.4">
      <c r="C823" s="274"/>
      <c r="D823" s="319"/>
      <c r="E823" s="319"/>
      <c r="F823" s="319"/>
    </row>
    <row r="824" spans="3:6" ht="25.05" customHeight="1" x14ac:dyDescent="0.4">
      <c r="C824" s="274"/>
      <c r="D824" s="319"/>
      <c r="E824" s="319"/>
      <c r="F824" s="319"/>
    </row>
    <row r="825" spans="3:6" ht="25.05" customHeight="1" x14ac:dyDescent="0.4">
      <c r="C825" s="274"/>
      <c r="D825" s="319"/>
      <c r="E825" s="319"/>
      <c r="F825" s="319"/>
    </row>
    <row r="826" spans="3:6" ht="25.05" customHeight="1" x14ac:dyDescent="0.4">
      <c r="C826" s="274"/>
      <c r="D826" s="319"/>
      <c r="E826" s="319"/>
      <c r="F826" s="319"/>
    </row>
    <row r="827" spans="3:6" ht="25.05" customHeight="1" x14ac:dyDescent="0.4">
      <c r="C827" s="274"/>
      <c r="D827" s="319"/>
      <c r="E827" s="319"/>
      <c r="F827" s="319"/>
    </row>
    <row r="828" spans="3:6" ht="25.05" customHeight="1" x14ac:dyDescent="0.4">
      <c r="C828" s="274"/>
      <c r="D828" s="319"/>
      <c r="E828" s="319"/>
      <c r="F828" s="319"/>
    </row>
    <row r="829" spans="3:6" ht="25.05" customHeight="1" x14ac:dyDescent="0.4">
      <c r="C829" s="274"/>
      <c r="D829" s="319"/>
      <c r="E829" s="319"/>
      <c r="F829" s="319"/>
    </row>
    <row r="830" spans="3:6" ht="25.05" customHeight="1" x14ac:dyDescent="0.4">
      <c r="C830" s="274"/>
      <c r="D830" s="319"/>
      <c r="E830" s="319"/>
      <c r="F830" s="319"/>
    </row>
    <row r="831" spans="3:6" ht="25.05" customHeight="1" x14ac:dyDescent="0.4">
      <c r="C831" s="274"/>
      <c r="D831" s="319"/>
      <c r="E831" s="319"/>
      <c r="F831" s="319"/>
    </row>
    <row r="832" spans="3:6" ht="25.05" customHeight="1" x14ac:dyDescent="0.4">
      <c r="C832" s="274"/>
      <c r="D832" s="319"/>
      <c r="E832" s="319"/>
      <c r="F832" s="319"/>
    </row>
    <row r="833" spans="3:6" ht="25.05" customHeight="1" x14ac:dyDescent="0.4">
      <c r="C833" s="274"/>
      <c r="D833" s="319"/>
      <c r="E833" s="319"/>
      <c r="F833" s="319"/>
    </row>
    <row r="834" spans="3:6" ht="25.05" customHeight="1" x14ac:dyDescent="0.4">
      <c r="C834" s="274"/>
      <c r="D834" s="319"/>
      <c r="E834" s="319"/>
      <c r="F834" s="319"/>
    </row>
    <row r="835" spans="3:6" ht="25.05" customHeight="1" x14ac:dyDescent="0.4">
      <c r="C835" s="274"/>
      <c r="D835" s="319"/>
      <c r="E835" s="319"/>
      <c r="F835" s="319"/>
    </row>
    <row r="836" spans="3:6" ht="25.05" customHeight="1" x14ac:dyDescent="0.4">
      <c r="C836" s="274"/>
      <c r="D836" s="319"/>
      <c r="E836" s="319"/>
      <c r="F836" s="319"/>
    </row>
    <row r="837" spans="3:6" ht="25.05" customHeight="1" x14ac:dyDescent="0.4">
      <c r="C837" s="274"/>
      <c r="D837" s="319"/>
      <c r="E837" s="319"/>
      <c r="F837" s="319"/>
    </row>
    <row r="838" spans="3:6" ht="25.05" customHeight="1" x14ac:dyDescent="0.4">
      <c r="C838" s="274"/>
      <c r="D838" s="319"/>
      <c r="E838" s="319"/>
      <c r="F838" s="319"/>
    </row>
    <row r="839" spans="3:6" ht="25.05" customHeight="1" x14ac:dyDescent="0.4">
      <c r="C839" s="274"/>
      <c r="D839" s="319"/>
      <c r="E839" s="319"/>
      <c r="F839" s="319"/>
    </row>
    <row r="840" spans="3:6" ht="25.05" customHeight="1" x14ac:dyDescent="0.4">
      <c r="C840" s="274"/>
      <c r="D840" s="319"/>
      <c r="E840" s="319"/>
      <c r="F840" s="319"/>
    </row>
    <row r="841" spans="3:6" ht="25.05" customHeight="1" x14ac:dyDescent="0.4">
      <c r="C841" s="274"/>
      <c r="D841" s="319"/>
      <c r="E841" s="319"/>
      <c r="F841" s="319"/>
    </row>
    <row r="842" spans="3:6" ht="25.05" customHeight="1" x14ac:dyDescent="0.4">
      <c r="C842" s="274"/>
      <c r="D842" s="319"/>
      <c r="E842" s="319"/>
      <c r="F842" s="319"/>
    </row>
    <row r="843" spans="3:6" ht="25.05" customHeight="1" x14ac:dyDescent="0.4">
      <c r="C843" s="274"/>
      <c r="D843" s="319"/>
      <c r="E843" s="319"/>
      <c r="F843" s="319"/>
    </row>
    <row r="844" spans="3:6" ht="25.05" customHeight="1" x14ac:dyDescent="0.4">
      <c r="C844" s="274"/>
      <c r="D844" s="319"/>
      <c r="E844" s="319"/>
      <c r="F844" s="319"/>
    </row>
    <row r="845" spans="3:6" ht="25.05" customHeight="1" x14ac:dyDescent="0.4">
      <c r="C845" s="274"/>
      <c r="D845" s="319"/>
      <c r="E845" s="319"/>
      <c r="F845" s="319"/>
    </row>
    <row r="846" spans="3:6" ht="25.05" customHeight="1" x14ac:dyDescent="0.4">
      <c r="C846" s="274"/>
      <c r="D846" s="319"/>
      <c r="E846" s="319"/>
      <c r="F846" s="319"/>
    </row>
    <row r="847" spans="3:6" ht="25.05" customHeight="1" x14ac:dyDescent="0.4">
      <c r="C847" s="274"/>
      <c r="D847" s="319"/>
      <c r="E847" s="319"/>
      <c r="F847" s="319"/>
    </row>
    <row r="848" spans="3:6" ht="25.05" customHeight="1" x14ac:dyDescent="0.4">
      <c r="C848" s="274"/>
      <c r="D848" s="319"/>
      <c r="E848" s="319"/>
      <c r="F848" s="319"/>
    </row>
    <row r="849" spans="3:6" ht="25.05" customHeight="1" x14ac:dyDescent="0.4">
      <c r="C849" s="274"/>
      <c r="D849" s="319"/>
      <c r="E849" s="319"/>
      <c r="F849" s="319"/>
    </row>
    <row r="850" spans="3:6" ht="25.05" customHeight="1" x14ac:dyDescent="0.4">
      <c r="C850" s="274"/>
      <c r="D850" s="319"/>
      <c r="E850" s="319"/>
      <c r="F850" s="319"/>
    </row>
    <row r="851" spans="3:6" ht="25.05" customHeight="1" x14ac:dyDescent="0.4">
      <c r="C851" s="274"/>
      <c r="D851" s="319"/>
      <c r="E851" s="319"/>
      <c r="F851" s="319"/>
    </row>
    <row r="852" spans="3:6" ht="25.05" customHeight="1" x14ac:dyDescent="0.4">
      <c r="C852" s="274"/>
      <c r="D852" s="319"/>
      <c r="E852" s="319"/>
      <c r="F852" s="319"/>
    </row>
    <row r="853" spans="3:6" ht="25.05" customHeight="1" x14ac:dyDescent="0.4">
      <c r="C853" s="274"/>
      <c r="D853" s="319"/>
      <c r="E853" s="319"/>
      <c r="F853" s="319"/>
    </row>
    <row r="854" spans="3:6" ht="25.05" customHeight="1" x14ac:dyDescent="0.4">
      <c r="C854" s="274"/>
      <c r="D854" s="319"/>
      <c r="E854" s="319"/>
      <c r="F854" s="319"/>
    </row>
    <row r="855" spans="3:6" ht="25.05" customHeight="1" x14ac:dyDescent="0.4">
      <c r="C855" s="274"/>
      <c r="D855" s="319"/>
      <c r="E855" s="319"/>
      <c r="F855" s="319"/>
    </row>
    <row r="856" spans="3:6" ht="25.05" customHeight="1" x14ac:dyDescent="0.4">
      <c r="C856" s="274"/>
      <c r="D856" s="319"/>
      <c r="E856" s="319"/>
      <c r="F856" s="319"/>
    </row>
    <row r="857" spans="3:6" ht="25.05" customHeight="1" x14ac:dyDescent="0.4">
      <c r="C857" s="274"/>
      <c r="D857" s="319"/>
      <c r="E857" s="319"/>
      <c r="F857" s="319"/>
    </row>
    <row r="858" spans="3:6" ht="25.05" customHeight="1" x14ac:dyDescent="0.4">
      <c r="C858" s="274"/>
      <c r="D858" s="319"/>
      <c r="E858" s="319"/>
      <c r="F858" s="319"/>
    </row>
    <row r="859" spans="3:6" ht="25.05" customHeight="1" x14ac:dyDescent="0.4">
      <c r="C859" s="274"/>
      <c r="D859" s="319"/>
      <c r="E859" s="319"/>
      <c r="F859" s="319"/>
    </row>
    <row r="860" spans="3:6" ht="25.05" customHeight="1" x14ac:dyDescent="0.4">
      <c r="C860" s="274"/>
      <c r="D860" s="319"/>
      <c r="E860" s="319"/>
      <c r="F860" s="319"/>
    </row>
    <row r="861" spans="3:6" ht="25.05" customHeight="1" x14ac:dyDescent="0.4">
      <c r="C861" s="274"/>
      <c r="D861" s="319"/>
      <c r="E861" s="319"/>
      <c r="F861" s="319"/>
    </row>
    <row r="862" spans="3:6" ht="25.05" customHeight="1" x14ac:dyDescent="0.4">
      <c r="C862" s="274"/>
      <c r="D862" s="319"/>
      <c r="E862" s="319"/>
      <c r="F862" s="319"/>
    </row>
    <row r="863" spans="3:6" ht="25.05" customHeight="1" x14ac:dyDescent="0.4">
      <c r="C863" s="274"/>
      <c r="D863" s="319"/>
      <c r="E863" s="319"/>
      <c r="F863" s="319"/>
    </row>
    <row r="864" spans="3:6" ht="25.05" customHeight="1" x14ac:dyDescent="0.4">
      <c r="C864" s="274"/>
      <c r="D864" s="319"/>
      <c r="E864" s="319"/>
      <c r="F864" s="319"/>
    </row>
    <row r="865" spans="3:6" ht="25.05" customHeight="1" x14ac:dyDescent="0.4">
      <c r="C865" s="274"/>
      <c r="D865" s="319"/>
      <c r="E865" s="319"/>
      <c r="F865" s="319"/>
    </row>
    <row r="866" spans="3:6" ht="25.05" customHeight="1" x14ac:dyDescent="0.4">
      <c r="C866" s="274"/>
      <c r="D866" s="319"/>
      <c r="E866" s="319"/>
      <c r="F866" s="319"/>
    </row>
    <row r="867" spans="3:6" ht="25.05" customHeight="1" x14ac:dyDescent="0.4">
      <c r="C867" s="274"/>
      <c r="D867" s="319"/>
      <c r="E867" s="319"/>
      <c r="F867" s="319"/>
    </row>
    <row r="868" spans="3:6" ht="25.05" customHeight="1" x14ac:dyDescent="0.4">
      <c r="C868" s="274"/>
      <c r="D868" s="319"/>
      <c r="E868" s="319"/>
      <c r="F868" s="319"/>
    </row>
    <row r="869" spans="3:6" ht="25.05" customHeight="1" x14ac:dyDescent="0.4">
      <c r="C869" s="274"/>
      <c r="D869" s="319"/>
      <c r="E869" s="319"/>
      <c r="F869" s="319"/>
    </row>
    <row r="870" spans="3:6" ht="25.05" customHeight="1" x14ac:dyDescent="0.4">
      <c r="C870" s="274"/>
      <c r="D870" s="319"/>
      <c r="E870" s="319"/>
      <c r="F870" s="319"/>
    </row>
    <row r="871" spans="3:6" ht="25.05" customHeight="1" x14ac:dyDescent="0.4">
      <c r="C871" s="274"/>
      <c r="D871" s="319"/>
      <c r="E871" s="319"/>
      <c r="F871" s="319"/>
    </row>
    <row r="872" spans="3:6" ht="25.05" customHeight="1" x14ac:dyDescent="0.4">
      <c r="C872" s="274"/>
      <c r="D872" s="319"/>
      <c r="E872" s="319"/>
      <c r="F872" s="319"/>
    </row>
    <row r="873" spans="3:6" ht="25.05" customHeight="1" x14ac:dyDescent="0.4">
      <c r="C873" s="274"/>
      <c r="D873" s="319"/>
      <c r="E873" s="319"/>
      <c r="F873" s="319"/>
    </row>
    <row r="874" spans="3:6" ht="25.05" customHeight="1" x14ac:dyDescent="0.4">
      <c r="C874" s="274"/>
      <c r="D874" s="319"/>
      <c r="E874" s="319"/>
      <c r="F874" s="319"/>
    </row>
    <row r="875" spans="3:6" ht="25.05" customHeight="1" x14ac:dyDescent="0.4">
      <c r="C875" s="274"/>
      <c r="D875" s="319"/>
      <c r="E875" s="319"/>
      <c r="F875" s="319"/>
    </row>
    <row r="876" spans="3:6" ht="25.05" customHeight="1" x14ac:dyDescent="0.4">
      <c r="C876" s="274"/>
      <c r="D876" s="319"/>
      <c r="E876" s="319"/>
      <c r="F876" s="319"/>
    </row>
    <row r="877" spans="3:6" ht="25.05" customHeight="1" x14ac:dyDescent="0.4">
      <c r="C877" s="274"/>
      <c r="D877" s="319"/>
      <c r="E877" s="319"/>
      <c r="F877" s="319"/>
    </row>
    <row r="878" spans="3:6" ht="25.05" customHeight="1" x14ac:dyDescent="0.4">
      <c r="C878" s="274"/>
      <c r="D878" s="319"/>
      <c r="E878" s="319"/>
      <c r="F878" s="319"/>
    </row>
    <row r="879" spans="3:6" ht="25.05" customHeight="1" x14ac:dyDescent="0.4">
      <c r="C879" s="274"/>
      <c r="D879" s="319"/>
      <c r="E879" s="319"/>
      <c r="F879" s="319"/>
    </row>
    <row r="880" spans="3:6" ht="25.05" customHeight="1" x14ac:dyDescent="0.4">
      <c r="C880" s="274"/>
      <c r="D880" s="319"/>
      <c r="E880" s="319"/>
      <c r="F880" s="319"/>
    </row>
    <row r="881" spans="3:6" ht="25.05" customHeight="1" x14ac:dyDescent="0.4">
      <c r="C881" s="274"/>
      <c r="D881" s="319"/>
      <c r="E881" s="319"/>
      <c r="F881" s="319"/>
    </row>
    <row r="882" spans="3:6" ht="25.05" customHeight="1" x14ac:dyDescent="0.4">
      <c r="C882" s="274"/>
      <c r="D882" s="319"/>
      <c r="E882" s="319"/>
      <c r="F882" s="319"/>
    </row>
    <row r="883" spans="3:6" ht="25.05" customHeight="1" x14ac:dyDescent="0.4">
      <c r="C883" s="274"/>
      <c r="D883" s="319"/>
      <c r="E883" s="319"/>
      <c r="F883" s="319"/>
    </row>
    <row r="884" spans="3:6" ht="25.05" customHeight="1" x14ac:dyDescent="0.4">
      <c r="C884" s="274"/>
      <c r="D884" s="319"/>
      <c r="E884" s="319"/>
      <c r="F884" s="319"/>
    </row>
    <row r="885" spans="3:6" ht="25.05" customHeight="1" x14ac:dyDescent="0.4">
      <c r="C885" s="274"/>
      <c r="D885" s="319"/>
      <c r="E885" s="319"/>
      <c r="F885" s="319"/>
    </row>
    <row r="886" spans="3:6" ht="25.05" customHeight="1" x14ac:dyDescent="0.4">
      <c r="C886" s="274"/>
      <c r="D886" s="319"/>
      <c r="E886" s="319"/>
      <c r="F886" s="319"/>
    </row>
    <row r="887" spans="3:6" ht="25.05" customHeight="1" x14ac:dyDescent="0.4">
      <c r="C887" s="274"/>
      <c r="D887" s="319"/>
      <c r="E887" s="319"/>
      <c r="F887" s="319"/>
    </row>
    <row r="888" spans="3:6" ht="25.05" customHeight="1" x14ac:dyDescent="0.4">
      <c r="C888" s="274"/>
      <c r="D888" s="319"/>
      <c r="E888" s="319"/>
      <c r="F888" s="319"/>
    </row>
    <row r="889" spans="3:6" ht="25.05" customHeight="1" x14ac:dyDescent="0.4">
      <c r="C889" s="274"/>
      <c r="D889" s="319"/>
      <c r="E889" s="319"/>
      <c r="F889" s="319"/>
    </row>
    <row r="890" spans="3:6" ht="25.05" customHeight="1" x14ac:dyDescent="0.4">
      <c r="C890" s="274"/>
      <c r="D890" s="319"/>
      <c r="E890" s="319"/>
      <c r="F890" s="319"/>
    </row>
    <row r="891" spans="3:6" ht="25.05" customHeight="1" x14ac:dyDescent="0.4">
      <c r="C891" s="274"/>
      <c r="D891" s="319"/>
      <c r="E891" s="319"/>
      <c r="F891" s="319"/>
    </row>
    <row r="892" spans="3:6" ht="25.05" customHeight="1" x14ac:dyDescent="0.4">
      <c r="C892" s="274"/>
      <c r="D892" s="319"/>
      <c r="E892" s="319"/>
      <c r="F892" s="319"/>
    </row>
    <row r="893" spans="3:6" ht="25.05" customHeight="1" x14ac:dyDescent="0.4">
      <c r="C893" s="274"/>
      <c r="D893" s="319"/>
      <c r="E893" s="319"/>
      <c r="F893" s="319"/>
    </row>
    <row r="894" spans="3:6" ht="25.05" customHeight="1" x14ac:dyDescent="0.4">
      <c r="C894" s="274"/>
      <c r="D894" s="319"/>
      <c r="E894" s="319"/>
      <c r="F894" s="319"/>
    </row>
    <row r="895" spans="3:6" ht="25.05" customHeight="1" x14ac:dyDescent="0.4">
      <c r="C895" s="274"/>
      <c r="D895" s="319"/>
      <c r="E895" s="319"/>
      <c r="F895" s="319"/>
    </row>
    <row r="896" spans="3:6" ht="25.05" customHeight="1" x14ac:dyDescent="0.4">
      <c r="C896" s="274"/>
      <c r="D896" s="319"/>
      <c r="E896" s="319"/>
      <c r="F896" s="319"/>
    </row>
    <row r="897" spans="3:6" ht="25.05" customHeight="1" x14ac:dyDescent="0.4">
      <c r="C897" s="274"/>
      <c r="D897" s="319"/>
      <c r="E897" s="319"/>
      <c r="F897" s="319"/>
    </row>
    <row r="898" spans="3:6" ht="25.05" customHeight="1" x14ac:dyDescent="0.4">
      <c r="C898" s="274"/>
      <c r="D898" s="319"/>
      <c r="E898" s="319"/>
      <c r="F898" s="319"/>
    </row>
    <row r="899" spans="3:6" ht="25.05" customHeight="1" x14ac:dyDescent="0.4">
      <c r="C899" s="274"/>
      <c r="D899" s="319"/>
      <c r="E899" s="319"/>
      <c r="F899" s="319"/>
    </row>
    <row r="900" spans="3:6" ht="25.05" customHeight="1" x14ac:dyDescent="0.4">
      <c r="C900" s="274"/>
      <c r="D900" s="319"/>
      <c r="E900" s="319"/>
      <c r="F900" s="319"/>
    </row>
    <row r="901" spans="3:6" ht="25.05" customHeight="1" x14ac:dyDescent="0.4">
      <c r="C901" s="274"/>
      <c r="D901" s="319"/>
      <c r="E901" s="319"/>
      <c r="F901" s="319"/>
    </row>
    <row r="902" spans="3:6" ht="25.05" customHeight="1" x14ac:dyDescent="0.4">
      <c r="C902" s="274"/>
      <c r="D902" s="319"/>
      <c r="E902" s="319"/>
      <c r="F902" s="319"/>
    </row>
    <row r="903" spans="3:6" ht="25.05" customHeight="1" x14ac:dyDescent="0.4">
      <c r="C903" s="274"/>
      <c r="D903" s="319"/>
      <c r="E903" s="319"/>
      <c r="F903" s="319"/>
    </row>
    <row r="904" spans="3:6" ht="25.05" customHeight="1" x14ac:dyDescent="0.4">
      <c r="C904" s="274"/>
      <c r="D904" s="319"/>
      <c r="E904" s="319"/>
      <c r="F904" s="319"/>
    </row>
    <row r="905" spans="3:6" ht="25.05" customHeight="1" x14ac:dyDescent="0.4">
      <c r="C905" s="274"/>
      <c r="D905" s="319"/>
      <c r="E905" s="319"/>
      <c r="F905" s="319"/>
    </row>
    <row r="906" spans="3:6" ht="25.05" customHeight="1" x14ac:dyDescent="0.4">
      <c r="C906" s="274"/>
      <c r="D906" s="319"/>
      <c r="E906" s="319"/>
      <c r="F906" s="319"/>
    </row>
    <row r="907" spans="3:6" ht="25.05" customHeight="1" x14ac:dyDescent="0.4">
      <c r="C907" s="274"/>
      <c r="D907" s="319"/>
      <c r="E907" s="319"/>
      <c r="F907" s="319"/>
    </row>
    <row r="908" spans="3:6" ht="25.05" customHeight="1" x14ac:dyDescent="0.4">
      <c r="C908" s="274"/>
      <c r="D908" s="319"/>
      <c r="E908" s="319"/>
      <c r="F908" s="319"/>
    </row>
    <row r="909" spans="3:6" ht="25.05" customHeight="1" x14ac:dyDescent="0.4">
      <c r="C909" s="274"/>
      <c r="D909" s="319"/>
      <c r="E909" s="319"/>
      <c r="F909" s="319"/>
    </row>
    <row r="910" spans="3:6" ht="25.05" customHeight="1" x14ac:dyDescent="0.4">
      <c r="C910" s="274"/>
      <c r="D910" s="319"/>
      <c r="E910" s="319"/>
      <c r="F910" s="319"/>
    </row>
    <row r="911" spans="3:6" ht="25.05" customHeight="1" x14ac:dyDescent="0.4">
      <c r="C911" s="274"/>
      <c r="D911" s="319"/>
      <c r="E911" s="319"/>
      <c r="F911" s="319"/>
    </row>
    <row r="912" spans="3:6" ht="25.05" customHeight="1" x14ac:dyDescent="0.4">
      <c r="C912" s="274"/>
      <c r="D912" s="319"/>
      <c r="E912" s="319"/>
      <c r="F912" s="319"/>
    </row>
    <row r="913" spans="3:6" ht="25.05" customHeight="1" x14ac:dyDescent="0.4">
      <c r="C913" s="274"/>
      <c r="D913" s="319"/>
      <c r="E913" s="319"/>
      <c r="F913" s="319"/>
    </row>
    <row r="914" spans="3:6" ht="25.05" customHeight="1" x14ac:dyDescent="0.4">
      <c r="C914" s="274"/>
      <c r="D914" s="319"/>
      <c r="E914" s="319"/>
      <c r="F914" s="319"/>
    </row>
    <row r="915" spans="3:6" ht="25.05" customHeight="1" x14ac:dyDescent="0.4">
      <c r="C915" s="274"/>
      <c r="D915" s="319"/>
      <c r="E915" s="319"/>
      <c r="F915" s="319"/>
    </row>
    <row r="916" spans="3:6" ht="25.05" customHeight="1" x14ac:dyDescent="0.4">
      <c r="C916" s="274"/>
      <c r="D916" s="319"/>
      <c r="E916" s="319"/>
      <c r="F916" s="319"/>
    </row>
    <row r="917" spans="3:6" ht="25.05" customHeight="1" x14ac:dyDescent="0.4">
      <c r="C917" s="274"/>
      <c r="D917" s="319"/>
      <c r="E917" s="319"/>
      <c r="F917" s="319"/>
    </row>
    <row r="918" spans="3:6" ht="25.05" customHeight="1" x14ac:dyDescent="0.4">
      <c r="C918" s="274"/>
      <c r="D918" s="319"/>
      <c r="E918" s="319"/>
      <c r="F918" s="319"/>
    </row>
    <row r="919" spans="3:6" ht="25.05" customHeight="1" x14ac:dyDescent="0.4">
      <c r="C919" s="274"/>
      <c r="D919" s="319"/>
      <c r="E919" s="319"/>
      <c r="F919" s="319"/>
    </row>
    <row r="920" spans="3:6" ht="25.05" customHeight="1" x14ac:dyDescent="0.4">
      <c r="C920" s="274"/>
      <c r="D920" s="319"/>
      <c r="E920" s="319"/>
      <c r="F920" s="319"/>
    </row>
    <row r="921" spans="3:6" ht="25.05" customHeight="1" x14ac:dyDescent="0.4">
      <c r="C921" s="274"/>
      <c r="D921" s="319"/>
      <c r="E921" s="319"/>
      <c r="F921" s="319"/>
    </row>
    <row r="922" spans="3:6" ht="25.05" customHeight="1" x14ac:dyDescent="0.4">
      <c r="C922" s="274"/>
      <c r="D922" s="319"/>
      <c r="E922" s="319"/>
      <c r="F922" s="319"/>
    </row>
    <row r="923" spans="3:6" ht="25.05" customHeight="1" x14ac:dyDescent="0.4">
      <c r="C923" s="274"/>
      <c r="D923" s="319"/>
      <c r="E923" s="319"/>
      <c r="F923" s="319"/>
    </row>
    <row r="924" spans="3:6" ht="25.05" customHeight="1" x14ac:dyDescent="0.4">
      <c r="C924" s="274"/>
      <c r="D924" s="319"/>
      <c r="E924" s="319"/>
      <c r="F924" s="319"/>
    </row>
    <row r="925" spans="3:6" ht="25.05" customHeight="1" x14ac:dyDescent="0.4">
      <c r="C925" s="274"/>
      <c r="D925" s="319"/>
      <c r="E925" s="319"/>
      <c r="F925" s="319"/>
    </row>
    <row r="926" spans="3:6" ht="25.05" customHeight="1" x14ac:dyDescent="0.4">
      <c r="C926" s="274"/>
      <c r="D926" s="319"/>
      <c r="E926" s="319"/>
      <c r="F926" s="319"/>
    </row>
    <row r="927" spans="3:6" ht="25.05" customHeight="1" x14ac:dyDescent="0.4">
      <c r="C927" s="274"/>
      <c r="D927" s="319"/>
      <c r="E927" s="319"/>
      <c r="F927" s="319"/>
    </row>
    <row r="928" spans="3:6" ht="25.05" customHeight="1" x14ac:dyDescent="0.4">
      <c r="C928" s="274"/>
      <c r="D928" s="319"/>
      <c r="E928" s="319"/>
      <c r="F928" s="319"/>
    </row>
    <row r="929" spans="3:6" ht="25.05" customHeight="1" x14ac:dyDescent="0.4">
      <c r="C929" s="274"/>
      <c r="D929" s="319"/>
      <c r="E929" s="319"/>
      <c r="F929" s="319"/>
    </row>
    <row r="930" spans="3:6" ht="25.05" customHeight="1" x14ac:dyDescent="0.4">
      <c r="C930" s="274"/>
      <c r="D930" s="319"/>
      <c r="E930" s="319"/>
      <c r="F930" s="319"/>
    </row>
    <row r="931" spans="3:6" ht="25.05" customHeight="1" x14ac:dyDescent="0.4">
      <c r="C931" s="274"/>
      <c r="D931" s="319"/>
      <c r="E931" s="319"/>
      <c r="F931" s="319"/>
    </row>
    <row r="932" spans="3:6" ht="25.05" customHeight="1" x14ac:dyDescent="0.4">
      <c r="C932" s="274"/>
      <c r="D932" s="319"/>
      <c r="E932" s="319"/>
      <c r="F932" s="319"/>
    </row>
    <row r="933" spans="3:6" ht="25.05" customHeight="1" x14ac:dyDescent="0.4">
      <c r="C933" s="274"/>
      <c r="D933" s="319"/>
      <c r="E933" s="319"/>
      <c r="F933" s="319"/>
    </row>
    <row r="934" spans="3:6" ht="25.05" customHeight="1" x14ac:dyDescent="0.4">
      <c r="C934" s="274"/>
      <c r="D934" s="319"/>
      <c r="E934" s="319"/>
      <c r="F934" s="319"/>
    </row>
    <row r="935" spans="3:6" ht="25.05" customHeight="1" x14ac:dyDescent="0.4">
      <c r="C935" s="274"/>
      <c r="D935" s="319"/>
      <c r="E935" s="319"/>
      <c r="F935" s="319"/>
    </row>
    <row r="936" spans="3:6" ht="25.05" customHeight="1" x14ac:dyDescent="0.4">
      <c r="C936" s="274"/>
      <c r="D936" s="319"/>
      <c r="E936" s="319"/>
      <c r="F936" s="319"/>
    </row>
    <row r="937" spans="3:6" ht="25.05" customHeight="1" x14ac:dyDescent="0.4">
      <c r="C937" s="274"/>
      <c r="D937" s="319"/>
      <c r="E937" s="319"/>
      <c r="F937" s="319"/>
    </row>
    <row r="938" spans="3:6" ht="25.05" customHeight="1" x14ac:dyDescent="0.4">
      <c r="C938" s="274"/>
      <c r="D938" s="319"/>
      <c r="E938" s="319"/>
      <c r="F938" s="319"/>
    </row>
    <row r="939" spans="3:6" ht="25.05" customHeight="1" x14ac:dyDescent="0.4">
      <c r="C939" s="274"/>
      <c r="D939" s="319"/>
      <c r="E939" s="319"/>
      <c r="F939" s="319"/>
    </row>
    <row r="940" spans="3:6" ht="25.05" customHeight="1" x14ac:dyDescent="0.4">
      <c r="C940" s="274"/>
      <c r="D940" s="319"/>
      <c r="E940" s="319"/>
      <c r="F940" s="319"/>
    </row>
    <row r="941" spans="3:6" ht="25.05" customHeight="1" x14ac:dyDescent="0.4">
      <c r="C941" s="274"/>
      <c r="D941" s="319"/>
      <c r="E941" s="319"/>
      <c r="F941" s="319"/>
    </row>
    <row r="942" spans="3:6" ht="25.05" customHeight="1" x14ac:dyDescent="0.4">
      <c r="C942" s="274"/>
      <c r="D942" s="319"/>
      <c r="E942" s="319"/>
      <c r="F942" s="319"/>
    </row>
    <row r="943" spans="3:6" ht="25.05" customHeight="1" x14ac:dyDescent="0.4">
      <c r="C943" s="274"/>
      <c r="D943" s="319"/>
      <c r="E943" s="319"/>
      <c r="F943" s="319"/>
    </row>
    <row r="944" spans="3:6" ht="25.05" customHeight="1" x14ac:dyDescent="0.4">
      <c r="C944" s="274"/>
      <c r="D944" s="319"/>
      <c r="E944" s="319"/>
      <c r="F944" s="319"/>
    </row>
    <row r="945" spans="3:6" ht="25.05" customHeight="1" x14ac:dyDescent="0.4">
      <c r="C945" s="274"/>
      <c r="D945" s="319"/>
      <c r="E945" s="319"/>
      <c r="F945" s="319"/>
    </row>
    <row r="946" spans="3:6" ht="25.05" customHeight="1" x14ac:dyDescent="0.4">
      <c r="C946" s="274"/>
      <c r="D946" s="319"/>
      <c r="E946" s="319"/>
      <c r="F946" s="319"/>
    </row>
    <row r="947" spans="3:6" ht="25.05" customHeight="1" x14ac:dyDescent="0.4">
      <c r="C947" s="274"/>
      <c r="D947" s="319"/>
      <c r="E947" s="319"/>
      <c r="F947" s="319"/>
    </row>
    <row r="948" spans="3:6" ht="25.05" customHeight="1" x14ac:dyDescent="0.4">
      <c r="C948" s="274"/>
      <c r="D948" s="319"/>
      <c r="E948" s="319"/>
      <c r="F948" s="319"/>
    </row>
    <row r="949" spans="3:6" ht="25.05" customHeight="1" x14ac:dyDescent="0.4">
      <c r="C949" s="274"/>
      <c r="D949" s="319"/>
      <c r="E949" s="319"/>
      <c r="F949" s="319"/>
    </row>
    <row r="950" spans="3:6" ht="25.05" customHeight="1" x14ac:dyDescent="0.4">
      <c r="C950" s="274"/>
      <c r="D950" s="319"/>
      <c r="E950" s="319"/>
      <c r="F950" s="319"/>
    </row>
    <row r="951" spans="3:6" ht="25.05" customHeight="1" x14ac:dyDescent="0.4">
      <c r="C951" s="274"/>
      <c r="D951" s="319"/>
      <c r="E951" s="319"/>
      <c r="F951" s="319"/>
    </row>
    <row r="952" spans="3:6" ht="25.05" customHeight="1" x14ac:dyDescent="0.4">
      <c r="C952" s="274"/>
      <c r="D952" s="319"/>
      <c r="E952" s="319"/>
      <c r="F952" s="319"/>
    </row>
    <row r="953" spans="3:6" ht="25.05" customHeight="1" x14ac:dyDescent="0.4">
      <c r="C953" s="274"/>
      <c r="D953" s="319"/>
      <c r="E953" s="319"/>
      <c r="F953" s="319"/>
    </row>
    <row r="954" spans="3:6" ht="25.05" customHeight="1" x14ac:dyDescent="0.4">
      <c r="C954" s="274"/>
      <c r="D954" s="319"/>
      <c r="E954" s="319"/>
      <c r="F954" s="319"/>
    </row>
    <row r="955" spans="3:6" ht="25.05" customHeight="1" x14ac:dyDescent="0.4">
      <c r="C955" s="274"/>
      <c r="D955" s="319"/>
      <c r="E955" s="319"/>
      <c r="F955" s="319"/>
    </row>
    <row r="956" spans="3:6" ht="25.05" customHeight="1" x14ac:dyDescent="0.4">
      <c r="C956" s="274"/>
      <c r="D956" s="319"/>
      <c r="E956" s="319"/>
      <c r="F956" s="319"/>
    </row>
    <row r="957" spans="3:6" ht="25.05" customHeight="1" x14ac:dyDescent="0.4">
      <c r="C957" s="274"/>
      <c r="D957" s="319"/>
      <c r="E957" s="319"/>
      <c r="F957" s="319"/>
    </row>
    <row r="958" spans="3:6" ht="25.05" customHeight="1" x14ac:dyDescent="0.4">
      <c r="C958" s="274"/>
      <c r="D958" s="319"/>
      <c r="E958" s="319"/>
      <c r="F958" s="319"/>
    </row>
    <row r="959" spans="3:6" ht="25.05" customHeight="1" x14ac:dyDescent="0.4">
      <c r="C959" s="274"/>
      <c r="D959" s="319"/>
      <c r="E959" s="319"/>
      <c r="F959" s="319"/>
    </row>
    <row r="960" spans="3:6" ht="25.05" customHeight="1" x14ac:dyDescent="0.4">
      <c r="C960" s="274"/>
      <c r="D960" s="319"/>
      <c r="E960" s="319"/>
      <c r="F960" s="319"/>
    </row>
    <row r="961" spans="3:6" ht="25.05" customHeight="1" x14ac:dyDescent="0.4">
      <c r="C961" s="274"/>
      <c r="D961" s="319"/>
      <c r="E961" s="319"/>
      <c r="F961" s="319"/>
    </row>
    <row r="962" spans="3:6" ht="25.05" customHeight="1" x14ac:dyDescent="0.4">
      <c r="C962" s="274"/>
      <c r="D962" s="319"/>
      <c r="E962" s="319"/>
      <c r="F962" s="319"/>
    </row>
    <row r="963" spans="3:6" ht="25.05" customHeight="1" x14ac:dyDescent="0.4">
      <c r="C963" s="274"/>
      <c r="D963" s="319"/>
      <c r="E963" s="319"/>
      <c r="F963" s="319"/>
    </row>
    <row r="964" spans="3:6" ht="25.05" customHeight="1" x14ac:dyDescent="0.4">
      <c r="C964" s="274"/>
      <c r="D964" s="319"/>
      <c r="E964" s="319"/>
      <c r="F964" s="319"/>
    </row>
    <row r="965" spans="3:6" ht="25.05" customHeight="1" x14ac:dyDescent="0.4">
      <c r="C965" s="274"/>
      <c r="D965" s="319"/>
      <c r="E965" s="319"/>
      <c r="F965" s="319"/>
    </row>
    <row r="966" spans="3:6" ht="25.05" customHeight="1" x14ac:dyDescent="0.4">
      <c r="C966" s="274"/>
      <c r="D966" s="319"/>
      <c r="E966" s="319"/>
      <c r="F966" s="319"/>
    </row>
    <row r="967" spans="3:6" ht="25.05" customHeight="1" x14ac:dyDescent="0.4">
      <c r="C967" s="274"/>
      <c r="D967" s="319"/>
      <c r="E967" s="319"/>
      <c r="F967" s="319"/>
    </row>
    <row r="968" spans="3:6" ht="25.05" customHeight="1" x14ac:dyDescent="0.4">
      <c r="C968" s="274"/>
      <c r="D968" s="319"/>
      <c r="E968" s="319"/>
      <c r="F968" s="319"/>
    </row>
    <row r="969" spans="3:6" ht="25.05" customHeight="1" x14ac:dyDescent="0.4">
      <c r="C969" s="274"/>
      <c r="D969" s="319"/>
      <c r="E969" s="319"/>
      <c r="F969" s="319"/>
    </row>
    <row r="970" spans="3:6" ht="25.05" customHeight="1" x14ac:dyDescent="0.4">
      <c r="C970" s="274"/>
      <c r="D970" s="319"/>
      <c r="E970" s="319"/>
      <c r="F970" s="319"/>
    </row>
    <row r="971" spans="3:6" ht="25.05" customHeight="1" x14ac:dyDescent="0.4">
      <c r="C971" s="274"/>
      <c r="D971" s="319"/>
      <c r="E971" s="319"/>
      <c r="F971" s="319"/>
    </row>
    <row r="972" spans="3:6" ht="25.05" customHeight="1" x14ac:dyDescent="0.4">
      <c r="C972" s="274"/>
      <c r="D972" s="319"/>
      <c r="E972" s="319"/>
      <c r="F972" s="319"/>
    </row>
    <row r="973" spans="3:6" ht="25.05" customHeight="1" x14ac:dyDescent="0.4">
      <c r="C973" s="274"/>
      <c r="D973" s="319"/>
      <c r="E973" s="319"/>
      <c r="F973" s="319"/>
    </row>
    <row r="974" spans="3:6" ht="25.05" customHeight="1" x14ac:dyDescent="0.4">
      <c r="C974" s="274"/>
      <c r="D974" s="319"/>
      <c r="E974" s="319"/>
      <c r="F974" s="319"/>
    </row>
    <row r="975" spans="3:6" ht="25.05" customHeight="1" x14ac:dyDescent="0.4">
      <c r="C975" s="274"/>
      <c r="D975" s="319"/>
      <c r="E975" s="319"/>
      <c r="F975" s="319"/>
    </row>
    <row r="976" spans="3:6" ht="25.05" customHeight="1" x14ac:dyDescent="0.4">
      <c r="C976" s="274"/>
      <c r="D976" s="319"/>
      <c r="E976" s="319"/>
      <c r="F976" s="319"/>
    </row>
    <row r="977" spans="3:6" ht="25.05" customHeight="1" x14ac:dyDescent="0.4">
      <c r="C977" s="274"/>
      <c r="D977" s="319"/>
      <c r="E977" s="319"/>
      <c r="F977" s="319"/>
    </row>
    <row r="978" spans="3:6" ht="25.05" customHeight="1" x14ac:dyDescent="0.4">
      <c r="C978" s="274"/>
      <c r="D978" s="319"/>
      <c r="E978" s="319"/>
      <c r="F978" s="319"/>
    </row>
    <row r="979" spans="3:6" ht="25.05" customHeight="1" x14ac:dyDescent="0.4">
      <c r="C979" s="274"/>
      <c r="D979" s="319"/>
      <c r="E979" s="319"/>
      <c r="F979" s="319"/>
    </row>
    <row r="980" spans="3:6" ht="25.05" customHeight="1" x14ac:dyDescent="0.4">
      <c r="C980" s="274"/>
      <c r="D980" s="319"/>
      <c r="E980" s="319"/>
      <c r="F980" s="319"/>
    </row>
    <row r="981" spans="3:6" ht="25.05" customHeight="1" x14ac:dyDescent="0.4">
      <c r="C981" s="274"/>
      <c r="D981" s="319"/>
      <c r="E981" s="319"/>
      <c r="F981" s="319"/>
    </row>
    <row r="982" spans="3:6" ht="25.05" customHeight="1" x14ac:dyDescent="0.4">
      <c r="C982" s="274"/>
      <c r="D982" s="319"/>
      <c r="E982" s="319"/>
      <c r="F982" s="319"/>
    </row>
    <row r="983" spans="3:6" ht="25.05" customHeight="1" x14ac:dyDescent="0.4">
      <c r="C983" s="274"/>
      <c r="D983" s="319"/>
      <c r="E983" s="319"/>
      <c r="F983" s="319"/>
    </row>
    <row r="984" spans="3:6" ht="25.05" customHeight="1" x14ac:dyDescent="0.4">
      <c r="C984" s="274"/>
      <c r="D984" s="319"/>
      <c r="E984" s="319"/>
      <c r="F984" s="319"/>
    </row>
    <row r="985" spans="3:6" ht="25.05" customHeight="1" x14ac:dyDescent="0.4">
      <c r="C985" s="274"/>
      <c r="D985" s="319"/>
      <c r="E985" s="319"/>
      <c r="F985" s="319"/>
    </row>
    <row r="986" spans="3:6" ht="25.05" customHeight="1" x14ac:dyDescent="0.4">
      <c r="C986" s="274"/>
      <c r="D986" s="319"/>
      <c r="E986" s="319"/>
      <c r="F986" s="319"/>
    </row>
    <row r="987" spans="3:6" ht="25.05" customHeight="1" x14ac:dyDescent="0.4">
      <c r="C987" s="274"/>
      <c r="D987" s="319"/>
      <c r="E987" s="319"/>
      <c r="F987" s="319"/>
    </row>
    <row r="988" spans="3:6" ht="25.05" customHeight="1" x14ac:dyDescent="0.4">
      <c r="C988" s="274"/>
      <c r="D988" s="319"/>
      <c r="E988" s="319"/>
      <c r="F988" s="319"/>
    </row>
    <row r="989" spans="3:6" ht="25.05" customHeight="1" x14ac:dyDescent="0.4">
      <c r="C989" s="274"/>
      <c r="D989" s="319"/>
      <c r="E989" s="319"/>
      <c r="F989" s="319"/>
    </row>
    <row r="990" spans="3:6" ht="25.05" customHeight="1" x14ac:dyDescent="0.4">
      <c r="C990" s="274"/>
      <c r="D990" s="319"/>
      <c r="E990" s="319"/>
      <c r="F990" s="319"/>
    </row>
    <row r="991" spans="3:6" ht="25.05" customHeight="1" x14ac:dyDescent="0.4">
      <c r="C991" s="274"/>
      <c r="D991" s="319"/>
      <c r="E991" s="319"/>
      <c r="F991" s="319"/>
    </row>
    <row r="992" spans="3:6" ht="25.05" customHeight="1" x14ac:dyDescent="0.4">
      <c r="C992" s="274"/>
      <c r="D992" s="319"/>
      <c r="E992" s="319"/>
      <c r="F992" s="319"/>
    </row>
    <row r="993" spans="3:6" ht="25.05" customHeight="1" x14ac:dyDescent="0.4">
      <c r="C993" s="274"/>
      <c r="D993" s="319"/>
      <c r="E993" s="319"/>
      <c r="F993" s="319"/>
    </row>
    <row r="994" spans="3:6" ht="25.05" customHeight="1" x14ac:dyDescent="0.4">
      <c r="C994" s="274"/>
      <c r="D994" s="319"/>
      <c r="E994" s="319"/>
      <c r="F994" s="319"/>
    </row>
    <row r="995" spans="3:6" ht="25.05" customHeight="1" x14ac:dyDescent="0.4">
      <c r="C995" s="274"/>
      <c r="D995" s="319"/>
      <c r="E995" s="319"/>
      <c r="F995" s="319"/>
    </row>
    <row r="996" spans="3:6" ht="25.05" customHeight="1" x14ac:dyDescent="0.4">
      <c r="C996" s="274"/>
      <c r="D996" s="319"/>
      <c r="E996" s="319"/>
      <c r="F996" s="319"/>
    </row>
    <row r="997" spans="3:6" ht="25.05" customHeight="1" x14ac:dyDescent="0.4">
      <c r="C997" s="274"/>
      <c r="D997" s="319"/>
      <c r="E997" s="319"/>
      <c r="F997" s="319"/>
    </row>
    <row r="998" spans="3:6" ht="25.05" customHeight="1" x14ac:dyDescent="0.4">
      <c r="C998" s="274"/>
      <c r="D998" s="319"/>
      <c r="E998" s="319"/>
      <c r="F998" s="319"/>
    </row>
    <row r="999" spans="3:6" ht="25.05" customHeight="1" x14ac:dyDescent="0.4">
      <c r="C999" s="274"/>
      <c r="D999" s="319"/>
      <c r="E999" s="319"/>
      <c r="F999" s="319"/>
    </row>
    <row r="1000" spans="3:6" ht="25.05" customHeight="1" x14ac:dyDescent="0.4">
      <c r="C1000" s="274"/>
      <c r="D1000" s="319"/>
      <c r="E1000" s="319"/>
      <c r="F1000" s="319"/>
    </row>
    <row r="1001" spans="3:6" ht="25.05" customHeight="1" x14ac:dyDescent="0.4">
      <c r="C1001" s="274"/>
      <c r="D1001" s="319"/>
      <c r="E1001" s="319"/>
      <c r="F1001" s="319"/>
    </row>
    <row r="1002" spans="3:6" ht="25.05" customHeight="1" x14ac:dyDescent="0.4">
      <c r="C1002" s="274"/>
      <c r="D1002" s="319"/>
      <c r="E1002" s="319"/>
      <c r="F1002" s="319"/>
    </row>
    <row r="1003" spans="3:6" ht="25.05" customHeight="1" x14ac:dyDescent="0.4">
      <c r="C1003" s="274"/>
      <c r="D1003" s="319"/>
      <c r="E1003" s="319"/>
      <c r="F1003" s="319"/>
    </row>
    <row r="1004" spans="3:6" ht="25.05" customHeight="1" x14ac:dyDescent="0.4">
      <c r="C1004" s="274"/>
      <c r="D1004" s="319"/>
      <c r="E1004" s="319"/>
      <c r="F1004" s="319"/>
    </row>
    <row r="1005" spans="3:6" ht="25.05" customHeight="1" x14ac:dyDescent="0.4">
      <c r="C1005" s="274"/>
      <c r="D1005" s="319"/>
      <c r="E1005" s="319"/>
      <c r="F1005" s="319"/>
    </row>
    <row r="1006" spans="3:6" ht="25.05" customHeight="1" x14ac:dyDescent="0.4">
      <c r="C1006" s="274"/>
      <c r="D1006" s="319"/>
      <c r="E1006" s="319"/>
      <c r="F1006" s="319"/>
    </row>
    <row r="1007" spans="3:6" ht="25.05" customHeight="1" x14ac:dyDescent="0.4">
      <c r="C1007" s="274"/>
      <c r="D1007" s="319"/>
      <c r="E1007" s="319"/>
      <c r="F1007" s="319"/>
    </row>
    <row r="1008" spans="3:6" ht="25.05" customHeight="1" x14ac:dyDescent="0.4">
      <c r="C1008" s="274"/>
      <c r="D1008" s="319"/>
      <c r="E1008" s="319"/>
      <c r="F1008" s="319"/>
    </row>
    <row r="1009" spans="3:6" ht="25.05" customHeight="1" x14ac:dyDescent="0.4">
      <c r="C1009" s="274"/>
      <c r="D1009" s="319"/>
      <c r="E1009" s="319"/>
      <c r="F1009" s="319"/>
    </row>
    <row r="1010" spans="3:6" ht="25.05" customHeight="1" x14ac:dyDescent="0.4">
      <c r="C1010" s="274"/>
      <c r="D1010" s="319"/>
      <c r="E1010" s="319"/>
      <c r="F1010" s="319"/>
    </row>
    <row r="1011" spans="3:6" ht="25.05" customHeight="1" x14ac:dyDescent="0.4">
      <c r="C1011" s="274"/>
      <c r="D1011" s="319"/>
      <c r="E1011" s="319"/>
      <c r="F1011" s="319"/>
    </row>
    <row r="1012" spans="3:6" ht="25.05" customHeight="1" x14ac:dyDescent="0.4">
      <c r="C1012" s="274"/>
      <c r="D1012" s="319"/>
      <c r="E1012" s="319"/>
      <c r="F1012" s="319"/>
    </row>
    <row r="1013" spans="3:6" ht="25.05" customHeight="1" x14ac:dyDescent="0.4">
      <c r="C1013" s="274"/>
      <c r="D1013" s="319"/>
      <c r="E1013" s="319"/>
      <c r="F1013" s="319"/>
    </row>
    <row r="1014" spans="3:6" ht="25.05" customHeight="1" x14ac:dyDescent="0.4">
      <c r="C1014" s="274"/>
      <c r="D1014" s="319"/>
      <c r="E1014" s="319"/>
      <c r="F1014" s="319"/>
    </row>
    <row r="1015" spans="3:6" ht="25.05" customHeight="1" x14ac:dyDescent="0.4">
      <c r="C1015" s="274"/>
      <c r="D1015" s="319"/>
      <c r="E1015" s="319"/>
      <c r="F1015" s="319"/>
    </row>
    <row r="1016" spans="3:6" ht="25.05" customHeight="1" x14ac:dyDescent="0.4">
      <c r="C1016" s="274"/>
      <c r="D1016" s="319"/>
      <c r="E1016" s="319"/>
      <c r="F1016" s="319"/>
    </row>
    <row r="1017" spans="3:6" ht="25.05" customHeight="1" x14ac:dyDescent="0.4">
      <c r="C1017" s="274"/>
      <c r="D1017" s="319"/>
      <c r="E1017" s="319"/>
      <c r="F1017" s="319"/>
    </row>
    <row r="1018" spans="3:6" ht="25.05" customHeight="1" x14ac:dyDescent="0.4">
      <c r="C1018" s="274"/>
      <c r="D1018" s="319"/>
      <c r="E1018" s="319"/>
      <c r="F1018" s="319"/>
    </row>
    <row r="1019" spans="3:6" ht="25.05" customHeight="1" x14ac:dyDescent="0.4">
      <c r="C1019" s="274"/>
      <c r="D1019" s="319"/>
      <c r="E1019" s="319"/>
      <c r="F1019" s="319"/>
    </row>
    <row r="1020" spans="3:6" ht="25.05" customHeight="1" x14ac:dyDescent="0.4">
      <c r="C1020" s="274"/>
      <c r="D1020" s="319"/>
      <c r="E1020" s="319"/>
      <c r="F1020" s="319"/>
    </row>
    <row r="1021" spans="3:6" ht="25.05" customHeight="1" x14ac:dyDescent="0.4">
      <c r="C1021" s="274"/>
      <c r="D1021" s="319"/>
      <c r="E1021" s="319"/>
      <c r="F1021" s="319"/>
    </row>
    <row r="1022" spans="3:6" ht="25.05" customHeight="1" x14ac:dyDescent="0.4">
      <c r="C1022" s="274"/>
      <c r="D1022" s="319"/>
      <c r="E1022" s="319"/>
      <c r="F1022" s="319"/>
    </row>
    <row r="1023" spans="3:6" ht="25.05" customHeight="1" x14ac:dyDescent="0.4">
      <c r="C1023" s="274"/>
      <c r="D1023" s="319"/>
      <c r="E1023" s="319"/>
      <c r="F1023" s="319"/>
    </row>
    <row r="1024" spans="3:6" ht="25.05" customHeight="1" x14ac:dyDescent="0.4">
      <c r="C1024" s="274"/>
      <c r="D1024" s="319"/>
      <c r="E1024" s="319"/>
      <c r="F1024" s="319"/>
    </row>
    <row r="1025" spans="3:6" ht="25.05" customHeight="1" x14ac:dyDescent="0.4">
      <c r="C1025" s="274"/>
      <c r="D1025" s="319"/>
      <c r="E1025" s="319"/>
      <c r="F1025" s="319"/>
    </row>
    <row r="1026" spans="3:6" ht="25.05" customHeight="1" x14ac:dyDescent="0.4">
      <c r="C1026" s="274"/>
      <c r="D1026" s="319"/>
      <c r="E1026" s="319"/>
      <c r="F1026" s="319"/>
    </row>
    <row r="1027" spans="3:6" ht="25.05" customHeight="1" x14ac:dyDescent="0.4">
      <c r="C1027" s="274"/>
      <c r="D1027" s="319"/>
      <c r="E1027" s="319"/>
      <c r="F1027" s="319"/>
    </row>
    <row r="1028" spans="3:6" ht="25.05" customHeight="1" x14ac:dyDescent="0.4">
      <c r="C1028" s="274"/>
      <c r="D1028" s="319"/>
      <c r="E1028" s="319"/>
      <c r="F1028" s="319"/>
    </row>
    <row r="1029" spans="3:6" ht="25.05" customHeight="1" x14ac:dyDescent="0.4">
      <c r="C1029" s="274"/>
      <c r="D1029" s="319"/>
      <c r="E1029" s="319"/>
      <c r="F1029" s="319"/>
    </row>
    <row r="1030" spans="3:6" ht="25.05" customHeight="1" x14ac:dyDescent="0.4">
      <c r="C1030" s="274"/>
      <c r="D1030" s="319"/>
      <c r="E1030" s="319"/>
      <c r="F1030" s="319"/>
    </row>
    <row r="1031" spans="3:6" ht="25.05" customHeight="1" x14ac:dyDescent="0.4">
      <c r="C1031" s="274"/>
      <c r="D1031" s="319"/>
      <c r="E1031" s="319"/>
      <c r="F1031" s="319"/>
    </row>
    <row r="1032" spans="3:6" ht="25.05" customHeight="1" x14ac:dyDescent="0.4">
      <c r="C1032" s="274"/>
      <c r="D1032" s="319"/>
      <c r="E1032" s="319"/>
      <c r="F1032" s="319"/>
    </row>
    <row r="1033" spans="3:6" ht="25.05" customHeight="1" x14ac:dyDescent="0.4">
      <c r="C1033" s="274"/>
      <c r="D1033" s="319"/>
      <c r="E1033" s="319"/>
      <c r="F1033" s="319"/>
    </row>
    <row r="1034" spans="3:6" ht="25.05" customHeight="1" x14ac:dyDescent="0.4">
      <c r="C1034" s="274"/>
      <c r="D1034" s="319"/>
      <c r="E1034" s="319"/>
      <c r="F1034" s="319"/>
    </row>
    <row r="1035" spans="3:6" ht="25.05" customHeight="1" x14ac:dyDescent="0.4">
      <c r="C1035" s="274"/>
      <c r="D1035" s="319"/>
      <c r="E1035" s="319"/>
      <c r="F1035" s="319"/>
    </row>
    <row r="1036" spans="3:6" ht="25.05" customHeight="1" x14ac:dyDescent="0.4">
      <c r="C1036" s="274"/>
      <c r="D1036" s="319"/>
      <c r="E1036" s="319"/>
      <c r="F1036" s="319"/>
    </row>
    <row r="1037" spans="3:6" ht="25.05" customHeight="1" x14ac:dyDescent="0.4">
      <c r="C1037" s="274"/>
      <c r="D1037" s="319"/>
      <c r="E1037" s="319"/>
      <c r="F1037" s="319"/>
    </row>
    <row r="1038" spans="3:6" ht="25.05" customHeight="1" x14ac:dyDescent="0.4">
      <c r="C1038" s="274"/>
      <c r="D1038" s="319"/>
      <c r="E1038" s="319"/>
      <c r="F1038" s="319"/>
    </row>
    <row r="1039" spans="3:6" ht="25.05" customHeight="1" x14ac:dyDescent="0.4">
      <c r="C1039" s="274"/>
      <c r="D1039" s="319"/>
      <c r="E1039" s="319"/>
      <c r="F1039" s="319"/>
    </row>
    <row r="1040" spans="3:6" ht="25.05" customHeight="1" x14ac:dyDescent="0.4">
      <c r="C1040" s="274"/>
      <c r="D1040" s="319"/>
      <c r="E1040" s="319"/>
      <c r="F1040" s="319"/>
    </row>
    <row r="1041" spans="3:6" ht="25.05" customHeight="1" x14ac:dyDescent="0.4">
      <c r="C1041" s="274"/>
      <c r="D1041" s="319"/>
      <c r="E1041" s="319"/>
      <c r="F1041" s="319"/>
    </row>
    <row r="1042" spans="3:6" ht="25.05" customHeight="1" x14ac:dyDescent="0.4">
      <c r="C1042" s="274"/>
      <c r="D1042" s="319"/>
      <c r="E1042" s="319"/>
      <c r="F1042" s="319"/>
    </row>
    <row r="1043" spans="3:6" ht="25.05" customHeight="1" x14ac:dyDescent="0.4">
      <c r="C1043" s="274"/>
      <c r="D1043" s="319"/>
      <c r="E1043" s="319"/>
      <c r="F1043" s="319"/>
    </row>
    <row r="1044" spans="3:6" ht="25.05" customHeight="1" x14ac:dyDescent="0.4">
      <c r="C1044" s="274"/>
      <c r="D1044" s="319"/>
      <c r="E1044" s="319"/>
      <c r="F1044" s="319"/>
    </row>
    <row r="1045" spans="3:6" ht="25.05" customHeight="1" x14ac:dyDescent="0.4">
      <c r="C1045" s="274"/>
      <c r="D1045" s="319"/>
      <c r="E1045" s="319"/>
      <c r="F1045" s="319"/>
    </row>
    <row r="1046" spans="3:6" ht="25.05" customHeight="1" x14ac:dyDescent="0.4">
      <c r="C1046" s="274"/>
      <c r="D1046" s="319"/>
      <c r="E1046" s="319"/>
      <c r="F1046" s="319"/>
    </row>
    <row r="1047" spans="3:6" ht="25.05" customHeight="1" x14ac:dyDescent="0.4">
      <c r="C1047" s="274"/>
      <c r="D1047" s="319"/>
      <c r="E1047" s="319"/>
      <c r="F1047" s="319"/>
    </row>
    <row r="1048" spans="3:6" ht="25.05" customHeight="1" x14ac:dyDescent="0.4">
      <c r="C1048" s="274"/>
      <c r="D1048" s="319"/>
      <c r="E1048" s="319"/>
      <c r="F1048" s="319"/>
    </row>
    <row r="1049" spans="3:6" ht="25.05" customHeight="1" x14ac:dyDescent="0.4">
      <c r="C1049" s="274"/>
      <c r="D1049" s="319"/>
      <c r="E1049" s="319"/>
      <c r="F1049" s="319"/>
    </row>
    <row r="1050" spans="3:6" ht="25.05" customHeight="1" x14ac:dyDescent="0.4">
      <c r="C1050" s="274"/>
      <c r="D1050" s="319"/>
      <c r="E1050" s="319"/>
      <c r="F1050" s="319"/>
    </row>
    <row r="1051" spans="3:6" ht="25.05" customHeight="1" x14ac:dyDescent="0.4">
      <c r="C1051" s="274"/>
      <c r="D1051" s="319"/>
      <c r="E1051" s="319"/>
      <c r="F1051" s="319"/>
    </row>
    <row r="1052" spans="3:6" ht="25.05" customHeight="1" x14ac:dyDescent="0.4">
      <c r="C1052" s="274"/>
      <c r="D1052" s="319"/>
      <c r="E1052" s="319"/>
      <c r="F1052" s="319"/>
    </row>
    <row r="1053" spans="3:6" ht="25.05" customHeight="1" x14ac:dyDescent="0.4">
      <c r="C1053" s="274"/>
      <c r="D1053" s="319"/>
      <c r="E1053" s="319"/>
      <c r="F1053" s="319"/>
    </row>
    <row r="1054" spans="3:6" ht="25.05" customHeight="1" x14ac:dyDescent="0.4">
      <c r="C1054" s="274"/>
      <c r="D1054" s="319"/>
      <c r="E1054" s="319"/>
      <c r="F1054" s="319"/>
    </row>
    <row r="1055" spans="3:6" ht="25.05" customHeight="1" x14ac:dyDescent="0.4">
      <c r="C1055" s="274"/>
      <c r="D1055" s="319"/>
      <c r="E1055" s="319"/>
      <c r="F1055" s="319"/>
    </row>
    <row r="1056" spans="3:6" ht="25.05" customHeight="1" x14ac:dyDescent="0.4">
      <c r="C1056" s="274"/>
      <c r="D1056" s="319"/>
      <c r="E1056" s="319"/>
      <c r="F1056" s="319"/>
    </row>
    <row r="1057" spans="3:6" ht="25.05" customHeight="1" x14ac:dyDescent="0.4">
      <c r="C1057" s="274"/>
      <c r="D1057" s="319"/>
      <c r="E1057" s="319"/>
      <c r="F1057" s="319"/>
    </row>
    <row r="1058" spans="3:6" ht="25.05" customHeight="1" x14ac:dyDescent="0.4">
      <c r="C1058" s="274"/>
      <c r="D1058" s="319"/>
      <c r="E1058" s="319"/>
      <c r="F1058" s="319"/>
    </row>
    <row r="1059" spans="3:6" ht="25.05" customHeight="1" x14ac:dyDescent="0.4">
      <c r="C1059" s="274"/>
      <c r="D1059" s="319"/>
      <c r="E1059" s="319"/>
      <c r="F1059" s="319"/>
    </row>
    <row r="1060" spans="3:6" ht="25.05" customHeight="1" x14ac:dyDescent="0.4">
      <c r="C1060" s="274"/>
      <c r="D1060" s="319"/>
      <c r="E1060" s="319"/>
      <c r="F1060" s="319"/>
    </row>
    <row r="1061" spans="3:6" ht="25.05" customHeight="1" x14ac:dyDescent="0.4">
      <c r="C1061" s="274"/>
      <c r="D1061" s="319"/>
      <c r="E1061" s="319"/>
      <c r="F1061" s="319"/>
    </row>
    <row r="1062" spans="3:6" ht="25.05" customHeight="1" x14ac:dyDescent="0.4">
      <c r="C1062" s="274"/>
      <c r="D1062" s="319"/>
      <c r="E1062" s="319"/>
      <c r="F1062" s="319"/>
    </row>
    <row r="1063" spans="3:6" ht="25.05" customHeight="1" x14ac:dyDescent="0.4">
      <c r="C1063" s="274"/>
      <c r="D1063" s="319"/>
      <c r="E1063" s="319"/>
      <c r="F1063" s="319"/>
    </row>
    <row r="1064" spans="3:6" ht="25.05" customHeight="1" x14ac:dyDescent="0.4">
      <c r="C1064" s="274"/>
      <c r="D1064" s="319"/>
      <c r="E1064" s="319"/>
      <c r="F1064" s="319"/>
    </row>
    <row r="1065" spans="3:6" ht="25.05" customHeight="1" x14ac:dyDescent="0.4">
      <c r="C1065" s="274"/>
      <c r="D1065" s="319"/>
      <c r="E1065" s="319"/>
      <c r="F1065" s="319"/>
    </row>
    <row r="1066" spans="3:6" ht="25.05" customHeight="1" x14ac:dyDescent="0.4">
      <c r="C1066" s="274"/>
      <c r="D1066" s="319"/>
      <c r="E1066" s="319"/>
      <c r="F1066" s="319"/>
    </row>
    <row r="1067" spans="3:6" ht="25.05" customHeight="1" x14ac:dyDescent="0.4">
      <c r="C1067" s="274"/>
      <c r="D1067" s="319"/>
      <c r="E1067" s="319"/>
      <c r="F1067" s="319"/>
    </row>
    <row r="1068" spans="3:6" ht="25.05" customHeight="1" x14ac:dyDescent="0.4">
      <c r="C1068" s="274"/>
      <c r="D1068" s="319"/>
      <c r="E1068" s="319"/>
      <c r="F1068" s="319"/>
    </row>
    <row r="1069" spans="3:6" ht="25.05" customHeight="1" x14ac:dyDescent="0.4">
      <c r="C1069" s="274"/>
      <c r="D1069" s="319"/>
      <c r="E1069" s="319"/>
      <c r="F1069" s="319"/>
    </row>
    <row r="1070" spans="3:6" ht="25.05" customHeight="1" x14ac:dyDescent="0.4">
      <c r="C1070" s="274"/>
      <c r="D1070" s="319"/>
      <c r="E1070" s="319"/>
      <c r="F1070" s="319"/>
    </row>
    <row r="1071" spans="3:6" ht="25.05" customHeight="1" x14ac:dyDescent="0.4">
      <c r="C1071" s="274"/>
      <c r="D1071" s="319"/>
      <c r="E1071" s="319"/>
      <c r="F1071" s="319"/>
    </row>
    <row r="1072" spans="3:6" ht="25.05" customHeight="1" x14ac:dyDescent="0.4">
      <c r="C1072" s="274"/>
      <c r="D1072" s="319"/>
      <c r="E1072" s="319"/>
      <c r="F1072" s="319"/>
    </row>
    <row r="1073" spans="3:6" ht="25.05" customHeight="1" x14ac:dyDescent="0.4">
      <c r="C1073" s="274"/>
      <c r="D1073" s="319"/>
      <c r="E1073" s="319"/>
      <c r="F1073" s="319"/>
    </row>
    <row r="1074" spans="3:6" ht="25.05" customHeight="1" x14ac:dyDescent="0.4">
      <c r="C1074" s="274"/>
      <c r="D1074" s="319"/>
      <c r="E1074" s="319"/>
      <c r="F1074" s="319"/>
    </row>
    <row r="1075" spans="3:6" ht="25.05" customHeight="1" x14ac:dyDescent="0.4">
      <c r="C1075" s="274"/>
      <c r="D1075" s="319"/>
      <c r="E1075" s="319"/>
      <c r="F1075" s="319"/>
    </row>
    <row r="1076" spans="3:6" ht="25.05" customHeight="1" x14ac:dyDescent="0.4">
      <c r="C1076" s="274"/>
      <c r="D1076" s="319"/>
      <c r="E1076" s="319"/>
      <c r="F1076" s="319"/>
    </row>
    <row r="1077" spans="3:6" ht="25.05" customHeight="1" x14ac:dyDescent="0.4">
      <c r="C1077" s="274"/>
      <c r="D1077" s="319"/>
      <c r="E1077" s="319"/>
      <c r="F1077" s="319"/>
    </row>
    <row r="1078" spans="3:6" ht="25.05" customHeight="1" x14ac:dyDescent="0.4">
      <c r="C1078" s="274"/>
      <c r="D1078" s="319"/>
      <c r="E1078" s="319"/>
      <c r="F1078" s="319"/>
    </row>
    <row r="1079" spans="3:6" ht="25.05" customHeight="1" x14ac:dyDescent="0.4">
      <c r="C1079" s="274"/>
      <c r="D1079" s="319"/>
      <c r="E1079" s="319"/>
      <c r="F1079" s="319"/>
    </row>
    <row r="1080" spans="3:6" ht="25.05" customHeight="1" x14ac:dyDescent="0.4">
      <c r="C1080" s="274"/>
      <c r="D1080" s="319"/>
      <c r="E1080" s="319"/>
      <c r="F1080" s="319"/>
    </row>
    <row r="1081" spans="3:6" ht="25.05" customHeight="1" x14ac:dyDescent="0.4">
      <c r="C1081" s="274"/>
      <c r="D1081" s="319"/>
      <c r="E1081" s="319"/>
      <c r="F1081" s="319"/>
    </row>
    <row r="1082" spans="3:6" ht="25.05" customHeight="1" x14ac:dyDescent="0.4">
      <c r="C1082" s="274"/>
      <c r="D1082" s="319"/>
      <c r="E1082" s="319"/>
      <c r="F1082" s="319"/>
    </row>
    <row r="1083" spans="3:6" ht="25.05" customHeight="1" x14ac:dyDescent="0.4">
      <c r="C1083" s="274"/>
      <c r="D1083" s="319"/>
      <c r="E1083" s="319"/>
      <c r="F1083" s="319"/>
    </row>
    <row r="1084" spans="3:6" ht="25.05" customHeight="1" x14ac:dyDescent="0.4">
      <c r="C1084" s="274"/>
      <c r="D1084" s="319"/>
      <c r="E1084" s="319"/>
      <c r="F1084" s="319"/>
    </row>
    <row r="1085" spans="3:6" ht="25.05" customHeight="1" x14ac:dyDescent="0.4">
      <c r="C1085" s="274"/>
      <c r="D1085" s="319"/>
      <c r="E1085" s="319"/>
      <c r="F1085" s="319"/>
    </row>
    <row r="1086" spans="3:6" ht="25.05" customHeight="1" x14ac:dyDescent="0.4">
      <c r="C1086" s="274"/>
      <c r="D1086" s="319"/>
      <c r="E1086" s="319"/>
      <c r="F1086" s="319"/>
    </row>
    <row r="1087" spans="3:6" ht="25.05" customHeight="1" x14ac:dyDescent="0.4">
      <c r="C1087" s="274"/>
      <c r="D1087" s="319"/>
      <c r="E1087" s="319"/>
      <c r="F1087" s="319"/>
    </row>
    <row r="1088" spans="3:6" ht="25.05" customHeight="1" x14ac:dyDescent="0.4">
      <c r="C1088" s="274"/>
      <c r="D1088" s="319"/>
      <c r="E1088" s="319"/>
      <c r="F1088" s="319"/>
    </row>
    <row r="1089" spans="3:6" ht="25.05" customHeight="1" x14ac:dyDescent="0.4">
      <c r="C1089" s="274"/>
      <c r="D1089" s="319"/>
      <c r="E1089" s="319"/>
      <c r="F1089" s="319"/>
    </row>
    <row r="1090" spans="3:6" ht="25.05" customHeight="1" x14ac:dyDescent="0.4">
      <c r="C1090" s="274"/>
      <c r="D1090" s="319"/>
      <c r="E1090" s="319"/>
      <c r="F1090" s="319"/>
    </row>
    <row r="1091" spans="3:6" ht="25.05" customHeight="1" x14ac:dyDescent="0.4">
      <c r="C1091" s="274"/>
      <c r="D1091" s="319"/>
      <c r="E1091" s="319"/>
      <c r="F1091" s="319"/>
    </row>
    <row r="1092" spans="3:6" ht="25.05" customHeight="1" x14ac:dyDescent="0.4">
      <c r="C1092" s="274"/>
      <c r="D1092" s="319"/>
      <c r="E1092" s="319"/>
      <c r="F1092" s="319"/>
    </row>
    <row r="1093" spans="3:6" ht="25.05" customHeight="1" x14ac:dyDescent="0.4">
      <c r="C1093" s="274"/>
      <c r="D1093" s="319"/>
      <c r="E1093" s="319"/>
      <c r="F1093" s="319"/>
    </row>
    <row r="1094" spans="3:6" ht="25.05" customHeight="1" x14ac:dyDescent="0.4">
      <c r="C1094" s="274"/>
      <c r="D1094" s="319"/>
      <c r="E1094" s="319"/>
      <c r="F1094" s="319"/>
    </row>
    <row r="1095" spans="3:6" ht="25.05" customHeight="1" x14ac:dyDescent="0.4">
      <c r="C1095" s="274"/>
      <c r="D1095" s="319"/>
      <c r="E1095" s="319"/>
      <c r="F1095" s="319"/>
    </row>
    <row r="1096" spans="3:6" ht="25.05" customHeight="1" x14ac:dyDescent="0.4">
      <c r="C1096" s="274"/>
      <c r="D1096" s="319"/>
      <c r="E1096" s="319"/>
      <c r="F1096" s="319"/>
    </row>
    <row r="1097" spans="3:6" ht="25.05" customHeight="1" x14ac:dyDescent="0.4">
      <c r="C1097" s="274"/>
      <c r="D1097" s="319"/>
      <c r="E1097" s="319"/>
      <c r="F1097" s="319"/>
    </row>
    <row r="1098" spans="3:6" ht="25.05" customHeight="1" x14ac:dyDescent="0.4">
      <c r="C1098" s="274"/>
      <c r="D1098" s="319"/>
      <c r="E1098" s="319"/>
      <c r="F1098" s="319"/>
    </row>
    <row r="1099" spans="3:6" ht="25.05" customHeight="1" x14ac:dyDescent="0.4">
      <c r="C1099" s="274"/>
      <c r="D1099" s="319"/>
      <c r="E1099" s="319"/>
      <c r="F1099" s="319"/>
    </row>
    <row r="1100" spans="3:6" ht="25.05" customHeight="1" x14ac:dyDescent="0.4">
      <c r="C1100" s="274"/>
      <c r="D1100" s="319"/>
      <c r="E1100" s="319"/>
      <c r="F1100" s="319"/>
    </row>
    <row r="1101" spans="3:6" ht="25.05" customHeight="1" x14ac:dyDescent="0.4">
      <c r="C1101" s="274"/>
      <c r="D1101" s="319"/>
      <c r="E1101" s="319"/>
      <c r="F1101" s="319"/>
    </row>
    <row r="1102" spans="3:6" ht="25.05" customHeight="1" x14ac:dyDescent="0.4">
      <c r="C1102" s="274"/>
      <c r="D1102" s="319"/>
      <c r="E1102" s="319"/>
      <c r="F1102" s="319"/>
    </row>
    <row r="1103" spans="3:6" ht="25.05" customHeight="1" x14ac:dyDescent="0.4">
      <c r="C1103" s="274"/>
      <c r="D1103" s="319"/>
      <c r="E1103" s="319"/>
      <c r="F1103" s="319"/>
    </row>
    <row r="1104" spans="3:6" ht="25.05" customHeight="1" x14ac:dyDescent="0.4">
      <c r="C1104" s="274"/>
      <c r="D1104" s="319"/>
      <c r="E1104" s="319"/>
      <c r="F1104" s="319"/>
    </row>
    <row r="1105" spans="3:6" ht="25.05" customHeight="1" x14ac:dyDescent="0.4">
      <c r="C1105" s="274"/>
      <c r="D1105" s="319"/>
      <c r="E1105" s="319"/>
      <c r="F1105" s="319"/>
    </row>
    <row r="1106" spans="3:6" ht="25.05" customHeight="1" x14ac:dyDescent="0.4">
      <c r="C1106" s="274"/>
      <c r="D1106" s="319"/>
      <c r="E1106" s="319"/>
      <c r="F1106" s="319"/>
    </row>
    <row r="1107" spans="3:6" ht="25.05" customHeight="1" x14ac:dyDescent="0.4">
      <c r="C1107" s="274"/>
      <c r="D1107" s="319"/>
      <c r="E1107" s="319"/>
      <c r="F1107" s="319"/>
    </row>
    <row r="1108" spans="3:6" ht="25.05" customHeight="1" x14ac:dyDescent="0.4">
      <c r="C1108" s="274"/>
      <c r="D1108" s="319"/>
      <c r="E1108" s="319"/>
      <c r="F1108" s="319"/>
    </row>
    <row r="1109" spans="3:6" ht="25.05" customHeight="1" x14ac:dyDescent="0.4">
      <c r="C1109" s="274"/>
      <c r="D1109" s="319"/>
      <c r="E1109" s="319"/>
      <c r="F1109" s="319"/>
    </row>
    <row r="1110" spans="3:6" ht="25.05" customHeight="1" x14ac:dyDescent="0.4">
      <c r="C1110" s="274"/>
      <c r="D1110" s="319"/>
      <c r="E1110" s="319"/>
      <c r="F1110" s="319"/>
    </row>
    <row r="1111" spans="3:6" ht="25.05" customHeight="1" x14ac:dyDescent="0.4">
      <c r="C1111" s="274"/>
      <c r="D1111" s="319"/>
      <c r="E1111" s="319"/>
      <c r="F1111" s="319"/>
    </row>
    <row r="1112" spans="3:6" ht="25.05" customHeight="1" x14ac:dyDescent="0.4">
      <c r="C1112" s="274"/>
      <c r="D1112" s="319"/>
      <c r="E1112" s="319"/>
      <c r="F1112" s="319"/>
    </row>
    <row r="1113" spans="3:6" ht="25.05" customHeight="1" x14ac:dyDescent="0.4">
      <c r="C1113" s="274"/>
      <c r="D1113" s="319"/>
      <c r="E1113" s="319"/>
      <c r="F1113" s="319"/>
    </row>
    <row r="1114" spans="3:6" ht="25.05" customHeight="1" x14ac:dyDescent="0.4">
      <c r="C1114" s="274"/>
      <c r="D1114" s="319"/>
      <c r="E1114" s="319"/>
      <c r="F1114" s="319"/>
    </row>
    <row r="1115" spans="3:6" ht="25.05" customHeight="1" x14ac:dyDescent="0.4">
      <c r="C1115" s="274"/>
      <c r="D1115" s="319"/>
      <c r="E1115" s="319"/>
      <c r="F1115" s="319"/>
    </row>
    <row r="1116" spans="3:6" ht="25.05" customHeight="1" x14ac:dyDescent="0.4">
      <c r="C1116" s="274"/>
      <c r="D1116" s="319"/>
      <c r="E1116" s="319"/>
      <c r="F1116" s="319"/>
    </row>
    <row r="1117" spans="3:6" ht="25.05" customHeight="1" x14ac:dyDescent="0.4">
      <c r="C1117" s="274"/>
      <c r="D1117" s="319"/>
      <c r="E1117" s="319"/>
      <c r="F1117" s="319"/>
    </row>
    <row r="1118" spans="3:6" ht="25.05" customHeight="1" x14ac:dyDescent="0.4">
      <c r="C1118" s="274"/>
      <c r="D1118" s="319"/>
      <c r="E1118" s="319"/>
      <c r="F1118" s="319"/>
    </row>
    <row r="1119" spans="3:6" ht="25.05" customHeight="1" x14ac:dyDescent="0.4">
      <c r="C1119" s="274"/>
      <c r="D1119" s="319"/>
      <c r="E1119" s="319"/>
      <c r="F1119" s="319"/>
    </row>
    <row r="1120" spans="3:6" ht="25.05" customHeight="1" x14ac:dyDescent="0.4">
      <c r="C1120" s="274"/>
      <c r="D1120" s="319"/>
      <c r="E1120" s="319"/>
      <c r="F1120" s="319"/>
    </row>
    <row r="1121" spans="3:6" ht="25.05" customHeight="1" x14ac:dyDescent="0.4">
      <c r="C1121" s="274"/>
      <c r="D1121" s="319"/>
      <c r="E1121" s="319"/>
      <c r="F1121" s="319"/>
    </row>
    <row r="1122" spans="3:6" ht="25.05" customHeight="1" x14ac:dyDescent="0.4">
      <c r="C1122" s="274"/>
      <c r="D1122" s="319"/>
      <c r="E1122" s="319"/>
      <c r="F1122" s="319"/>
    </row>
    <row r="1123" spans="3:6" ht="25.05" customHeight="1" x14ac:dyDescent="0.4">
      <c r="C1123" s="274"/>
      <c r="D1123" s="319"/>
      <c r="E1123" s="319"/>
      <c r="F1123" s="319"/>
    </row>
    <row r="1124" spans="3:6" ht="25.05" customHeight="1" x14ac:dyDescent="0.4">
      <c r="C1124" s="274"/>
      <c r="D1124" s="319"/>
      <c r="E1124" s="319"/>
      <c r="F1124" s="319"/>
    </row>
    <row r="1125" spans="3:6" ht="25.05" customHeight="1" x14ac:dyDescent="0.4">
      <c r="C1125" s="274"/>
      <c r="D1125" s="319"/>
      <c r="E1125" s="319"/>
      <c r="F1125" s="319"/>
    </row>
    <row r="1126" spans="3:6" ht="25.05" customHeight="1" x14ac:dyDescent="0.4">
      <c r="C1126" s="274"/>
      <c r="D1126" s="319"/>
      <c r="E1126" s="319"/>
      <c r="F1126" s="319"/>
    </row>
    <row r="1127" spans="3:6" ht="25.05" customHeight="1" x14ac:dyDescent="0.4">
      <c r="C1127" s="274"/>
      <c r="D1127" s="319"/>
      <c r="E1127" s="319"/>
      <c r="F1127" s="319"/>
    </row>
    <row r="1128" spans="3:6" ht="25.05" customHeight="1" x14ac:dyDescent="0.4">
      <c r="C1128" s="274"/>
      <c r="D1128" s="319"/>
      <c r="E1128" s="319"/>
      <c r="F1128" s="319"/>
    </row>
    <row r="1129" spans="3:6" ht="25.05" customHeight="1" x14ac:dyDescent="0.4">
      <c r="C1129" s="274"/>
      <c r="D1129" s="319"/>
      <c r="E1129" s="319"/>
      <c r="F1129" s="319"/>
    </row>
    <row r="1130" spans="3:6" ht="25.05" customHeight="1" x14ac:dyDescent="0.4">
      <c r="C1130" s="274"/>
      <c r="D1130" s="319"/>
      <c r="E1130" s="319"/>
      <c r="F1130" s="319"/>
    </row>
    <row r="1131" spans="3:6" ht="25.05" customHeight="1" x14ac:dyDescent="0.4">
      <c r="C1131" s="274"/>
      <c r="D1131" s="319"/>
      <c r="E1131" s="319"/>
      <c r="F1131" s="319"/>
    </row>
    <row r="1132" spans="3:6" ht="25.05" customHeight="1" x14ac:dyDescent="0.4">
      <c r="C1132" s="274"/>
      <c r="D1132" s="319"/>
      <c r="E1132" s="319"/>
      <c r="F1132" s="319"/>
    </row>
    <row r="1133" spans="3:6" ht="25.05" customHeight="1" x14ac:dyDescent="0.4">
      <c r="C1133" s="274"/>
      <c r="D1133" s="319"/>
      <c r="E1133" s="319"/>
      <c r="F1133" s="319"/>
    </row>
    <row r="1134" spans="3:6" ht="25.05" customHeight="1" x14ac:dyDescent="0.4">
      <c r="C1134" s="274"/>
      <c r="D1134" s="319"/>
      <c r="E1134" s="319"/>
      <c r="F1134" s="319"/>
    </row>
    <row r="1135" spans="3:6" ht="25.05" customHeight="1" x14ac:dyDescent="0.4">
      <c r="C1135" s="274"/>
      <c r="D1135" s="319"/>
      <c r="E1135" s="319"/>
      <c r="F1135" s="319"/>
    </row>
    <row r="1136" spans="3:6" ht="25.05" customHeight="1" x14ac:dyDescent="0.4">
      <c r="C1136" s="274"/>
      <c r="D1136" s="319"/>
      <c r="E1136" s="319"/>
      <c r="F1136" s="319"/>
    </row>
    <row r="1137" spans="3:6" ht="25.05" customHeight="1" x14ac:dyDescent="0.4">
      <c r="C1137" s="274"/>
      <c r="D1137" s="319"/>
      <c r="E1137" s="319"/>
      <c r="F1137" s="319"/>
    </row>
    <row r="1138" spans="3:6" ht="25.05" customHeight="1" x14ac:dyDescent="0.4">
      <c r="C1138" s="274"/>
      <c r="D1138" s="319"/>
      <c r="E1138" s="319"/>
      <c r="F1138" s="319"/>
    </row>
    <row r="1139" spans="3:6" ht="25.05" customHeight="1" x14ac:dyDescent="0.4">
      <c r="C1139" s="274"/>
      <c r="D1139" s="319"/>
      <c r="E1139" s="319"/>
      <c r="F1139" s="319"/>
    </row>
    <row r="1140" spans="3:6" ht="25.05" customHeight="1" x14ac:dyDescent="0.4">
      <c r="C1140" s="274"/>
      <c r="D1140" s="319"/>
      <c r="E1140" s="319"/>
      <c r="F1140" s="319"/>
    </row>
    <row r="1141" spans="3:6" ht="25.05" customHeight="1" x14ac:dyDescent="0.4">
      <c r="C1141" s="274"/>
      <c r="D1141" s="319"/>
      <c r="E1141" s="319"/>
      <c r="F1141" s="319"/>
    </row>
    <row r="1142" spans="3:6" ht="25.05" customHeight="1" x14ac:dyDescent="0.4">
      <c r="C1142" s="274"/>
      <c r="D1142" s="319"/>
      <c r="E1142" s="319"/>
      <c r="F1142" s="319"/>
    </row>
    <row r="1143" spans="3:6" ht="25.05" customHeight="1" x14ac:dyDescent="0.4">
      <c r="C1143" s="274"/>
      <c r="D1143" s="319"/>
      <c r="E1143" s="319"/>
      <c r="F1143" s="319"/>
    </row>
    <row r="1144" spans="3:6" ht="25.05" customHeight="1" x14ac:dyDescent="0.4">
      <c r="C1144" s="274"/>
      <c r="D1144" s="319"/>
      <c r="E1144" s="319"/>
      <c r="F1144" s="319"/>
    </row>
    <row r="1145" spans="3:6" ht="25.05" customHeight="1" x14ac:dyDescent="0.4">
      <c r="C1145" s="274"/>
      <c r="D1145" s="319"/>
      <c r="E1145" s="319"/>
      <c r="F1145" s="319"/>
    </row>
    <row r="1146" spans="3:6" ht="25.05" customHeight="1" x14ac:dyDescent="0.4">
      <c r="C1146" s="274"/>
      <c r="D1146" s="319"/>
      <c r="E1146" s="319"/>
      <c r="F1146" s="319"/>
    </row>
    <row r="1147" spans="3:6" ht="25.05" customHeight="1" x14ac:dyDescent="0.4">
      <c r="C1147" s="274"/>
      <c r="D1147" s="319"/>
      <c r="E1147" s="319"/>
      <c r="F1147" s="319"/>
    </row>
    <row r="1148" spans="3:6" ht="25.05" customHeight="1" x14ac:dyDescent="0.4">
      <c r="C1148" s="274"/>
      <c r="D1148" s="319"/>
      <c r="E1148" s="319"/>
      <c r="F1148" s="319"/>
    </row>
    <row r="1149" spans="3:6" ht="25.05" customHeight="1" x14ac:dyDescent="0.4">
      <c r="C1149" s="274"/>
      <c r="D1149" s="319"/>
      <c r="E1149" s="319"/>
      <c r="F1149" s="319"/>
    </row>
    <row r="1150" spans="3:6" ht="25.05" customHeight="1" x14ac:dyDescent="0.4">
      <c r="C1150" s="274"/>
      <c r="D1150" s="319"/>
      <c r="E1150" s="319"/>
      <c r="F1150" s="319"/>
    </row>
    <row r="1151" spans="3:6" ht="25.05" customHeight="1" x14ac:dyDescent="0.4">
      <c r="C1151" s="274"/>
      <c r="D1151" s="319"/>
      <c r="E1151" s="319"/>
      <c r="F1151" s="319"/>
    </row>
    <row r="1152" spans="3:6" ht="25.05" customHeight="1" x14ac:dyDescent="0.4">
      <c r="C1152" s="274"/>
      <c r="D1152" s="319"/>
      <c r="E1152" s="319"/>
      <c r="F1152" s="319"/>
    </row>
    <row r="1153" spans="3:6" ht="25.05" customHeight="1" x14ac:dyDescent="0.4">
      <c r="C1153" s="274"/>
      <c r="D1153" s="319"/>
      <c r="E1153" s="319"/>
      <c r="F1153" s="319"/>
    </row>
    <row r="1154" spans="3:6" ht="25.05" customHeight="1" x14ac:dyDescent="0.4">
      <c r="C1154" s="274"/>
      <c r="D1154" s="319"/>
      <c r="E1154" s="319"/>
      <c r="F1154" s="319"/>
    </row>
    <row r="1155" spans="3:6" ht="25.05" customHeight="1" x14ac:dyDescent="0.4">
      <c r="C1155" s="274"/>
      <c r="D1155" s="319"/>
      <c r="E1155" s="319"/>
      <c r="F1155" s="319"/>
    </row>
    <row r="1156" spans="3:6" ht="25.05" customHeight="1" x14ac:dyDescent="0.4">
      <c r="C1156" s="274"/>
      <c r="D1156" s="319"/>
      <c r="E1156" s="319"/>
      <c r="F1156" s="319"/>
    </row>
    <row r="1157" spans="3:6" ht="25.05" customHeight="1" x14ac:dyDescent="0.4">
      <c r="C1157" s="274"/>
      <c r="D1157" s="319"/>
      <c r="E1157" s="319"/>
      <c r="F1157" s="319"/>
    </row>
    <row r="1158" spans="3:6" ht="25.05" customHeight="1" x14ac:dyDescent="0.4">
      <c r="C1158" s="274"/>
      <c r="D1158" s="319"/>
      <c r="E1158" s="319"/>
      <c r="F1158" s="319"/>
    </row>
    <row r="1159" spans="3:6" ht="25.05" customHeight="1" x14ac:dyDescent="0.4">
      <c r="C1159" s="274"/>
      <c r="D1159" s="319"/>
      <c r="E1159" s="319"/>
      <c r="F1159" s="319"/>
    </row>
    <row r="1160" spans="3:6" ht="25.05" customHeight="1" x14ac:dyDescent="0.4">
      <c r="C1160" s="274"/>
      <c r="D1160" s="319"/>
      <c r="E1160" s="319"/>
      <c r="F1160" s="319"/>
    </row>
    <row r="1161" spans="3:6" ht="25.05" customHeight="1" x14ac:dyDescent="0.4">
      <c r="C1161" s="274"/>
      <c r="D1161" s="319"/>
      <c r="E1161" s="319"/>
      <c r="F1161" s="319"/>
    </row>
    <row r="1162" spans="3:6" ht="25.05" customHeight="1" x14ac:dyDescent="0.4">
      <c r="C1162" s="274"/>
      <c r="D1162" s="319"/>
      <c r="E1162" s="319"/>
      <c r="F1162" s="319"/>
    </row>
    <row r="1163" spans="3:6" ht="25.05" customHeight="1" x14ac:dyDescent="0.4">
      <c r="C1163" s="274"/>
      <c r="D1163" s="319"/>
      <c r="E1163" s="319"/>
      <c r="F1163" s="319"/>
    </row>
    <row r="1164" spans="3:6" ht="25.05" customHeight="1" x14ac:dyDescent="0.4">
      <c r="C1164" s="274"/>
      <c r="D1164" s="319"/>
      <c r="E1164" s="319"/>
      <c r="F1164" s="319"/>
    </row>
    <row r="1165" spans="3:6" ht="25.05" customHeight="1" x14ac:dyDescent="0.4">
      <c r="C1165" s="274"/>
      <c r="D1165" s="319"/>
      <c r="E1165" s="319"/>
      <c r="F1165" s="319"/>
    </row>
    <row r="1166" spans="3:6" ht="25.05" customHeight="1" x14ac:dyDescent="0.4">
      <c r="C1166" s="274"/>
      <c r="D1166" s="319"/>
      <c r="E1166" s="319"/>
      <c r="F1166" s="319"/>
    </row>
    <row r="1167" spans="3:6" ht="25.05" customHeight="1" x14ac:dyDescent="0.4">
      <c r="C1167" s="274"/>
      <c r="D1167" s="319"/>
      <c r="E1167" s="319"/>
      <c r="F1167" s="319"/>
    </row>
    <row r="1168" spans="3:6" ht="25.05" customHeight="1" x14ac:dyDescent="0.4">
      <c r="C1168" s="274"/>
      <c r="D1168" s="319"/>
      <c r="E1168" s="319"/>
      <c r="F1168" s="319"/>
    </row>
    <row r="1169" spans="3:6" ht="25.05" customHeight="1" x14ac:dyDescent="0.4">
      <c r="C1169" s="274"/>
      <c r="D1169" s="319"/>
      <c r="E1169" s="319"/>
      <c r="F1169" s="319"/>
    </row>
    <row r="1170" spans="3:6" ht="25.05" customHeight="1" x14ac:dyDescent="0.4">
      <c r="C1170" s="274"/>
      <c r="D1170" s="319"/>
      <c r="E1170" s="319"/>
      <c r="F1170" s="319"/>
    </row>
    <row r="1171" spans="3:6" ht="25.05" customHeight="1" x14ac:dyDescent="0.4">
      <c r="C1171" s="274"/>
      <c r="D1171" s="319"/>
      <c r="E1171" s="319"/>
      <c r="F1171" s="319"/>
    </row>
    <row r="1172" spans="3:6" ht="25.05" customHeight="1" x14ac:dyDescent="0.4">
      <c r="C1172" s="274"/>
      <c r="D1172" s="319"/>
      <c r="E1172" s="319"/>
      <c r="F1172" s="319"/>
    </row>
    <row r="1173" spans="3:6" ht="25.05" customHeight="1" x14ac:dyDescent="0.4">
      <c r="C1173" s="274"/>
      <c r="D1173" s="319"/>
      <c r="E1173" s="319"/>
      <c r="F1173" s="319"/>
    </row>
    <row r="1174" spans="3:6" ht="25.05" customHeight="1" x14ac:dyDescent="0.4">
      <c r="C1174" s="274"/>
      <c r="D1174" s="319"/>
      <c r="E1174" s="319"/>
      <c r="F1174" s="319"/>
    </row>
    <row r="1175" spans="3:6" ht="25.05" customHeight="1" x14ac:dyDescent="0.4">
      <c r="C1175" s="274"/>
      <c r="D1175" s="319"/>
      <c r="E1175" s="319"/>
      <c r="F1175" s="319"/>
    </row>
    <row r="1176" spans="3:6" ht="25.05" customHeight="1" x14ac:dyDescent="0.4">
      <c r="C1176" s="274"/>
      <c r="D1176" s="319"/>
      <c r="E1176" s="319"/>
      <c r="F1176" s="319"/>
    </row>
    <row r="1177" spans="3:6" ht="25.05" customHeight="1" x14ac:dyDescent="0.4">
      <c r="C1177" s="274"/>
      <c r="D1177" s="319"/>
      <c r="E1177" s="319"/>
      <c r="F1177" s="319"/>
    </row>
    <row r="1178" spans="3:6" ht="25.05" customHeight="1" x14ac:dyDescent="0.4">
      <c r="C1178" s="274"/>
      <c r="D1178" s="319"/>
      <c r="E1178" s="319"/>
      <c r="F1178" s="319"/>
    </row>
    <row r="1179" spans="3:6" ht="25.05" customHeight="1" x14ac:dyDescent="0.4">
      <c r="C1179" s="274"/>
      <c r="D1179" s="319"/>
      <c r="E1179" s="319"/>
      <c r="F1179" s="319"/>
    </row>
    <row r="1180" spans="3:6" ht="25.05" customHeight="1" x14ac:dyDescent="0.4">
      <c r="C1180" s="274"/>
      <c r="D1180" s="319"/>
      <c r="E1180" s="319"/>
      <c r="F1180" s="319"/>
    </row>
    <row r="1181" spans="3:6" ht="25.05" customHeight="1" x14ac:dyDescent="0.4">
      <c r="C1181" s="274"/>
      <c r="D1181" s="319"/>
      <c r="E1181" s="319"/>
      <c r="F1181" s="319"/>
    </row>
    <row r="1182" spans="3:6" ht="25.05" customHeight="1" x14ac:dyDescent="0.4">
      <c r="C1182" s="274"/>
      <c r="D1182" s="319"/>
      <c r="E1182" s="319"/>
      <c r="F1182" s="319"/>
    </row>
    <row r="1183" spans="3:6" ht="25.05" customHeight="1" x14ac:dyDescent="0.4">
      <c r="C1183" s="274"/>
      <c r="D1183" s="319"/>
      <c r="E1183" s="319"/>
      <c r="F1183" s="319"/>
    </row>
    <row r="1184" spans="3:6" ht="25.05" customHeight="1" x14ac:dyDescent="0.4">
      <c r="C1184" s="274"/>
      <c r="D1184" s="319"/>
      <c r="E1184" s="319"/>
      <c r="F1184" s="319"/>
    </row>
    <row r="1185" spans="3:6" ht="25.05" customHeight="1" x14ac:dyDescent="0.4">
      <c r="C1185" s="274"/>
      <c r="D1185" s="319"/>
      <c r="E1185" s="319"/>
      <c r="F1185" s="319"/>
    </row>
    <row r="1186" spans="3:6" ht="25.05" customHeight="1" x14ac:dyDescent="0.4">
      <c r="C1186" s="274"/>
      <c r="D1186" s="319"/>
      <c r="E1186" s="319"/>
      <c r="F1186" s="319"/>
    </row>
    <row r="1187" spans="3:6" ht="25.05" customHeight="1" x14ac:dyDescent="0.4">
      <c r="C1187" s="274"/>
      <c r="D1187" s="319"/>
      <c r="E1187" s="319"/>
      <c r="F1187" s="319"/>
    </row>
    <row r="1188" spans="3:6" ht="25.05" customHeight="1" x14ac:dyDescent="0.4">
      <c r="C1188" s="274"/>
      <c r="D1188" s="319"/>
      <c r="E1188" s="319"/>
      <c r="F1188" s="319"/>
    </row>
    <row r="1189" spans="3:6" ht="25.05" customHeight="1" x14ac:dyDescent="0.4">
      <c r="C1189" s="274"/>
      <c r="D1189" s="319"/>
      <c r="E1189" s="319"/>
      <c r="F1189" s="319"/>
    </row>
    <row r="1190" spans="3:6" ht="25.05" customHeight="1" x14ac:dyDescent="0.4">
      <c r="C1190" s="274"/>
      <c r="D1190" s="319"/>
      <c r="E1190" s="319"/>
      <c r="F1190" s="319"/>
    </row>
    <row r="1191" spans="3:6" ht="25.05" customHeight="1" x14ac:dyDescent="0.4">
      <c r="C1191" s="274"/>
      <c r="D1191" s="319"/>
      <c r="E1191" s="319"/>
      <c r="F1191" s="319"/>
    </row>
    <row r="1192" spans="3:6" ht="25.05" customHeight="1" x14ac:dyDescent="0.4">
      <c r="C1192" s="274"/>
      <c r="D1192" s="319"/>
      <c r="E1192" s="319"/>
      <c r="F1192" s="319"/>
    </row>
    <row r="1193" spans="3:6" ht="25.05" customHeight="1" x14ac:dyDescent="0.4">
      <c r="C1193" s="274"/>
      <c r="D1193" s="319"/>
      <c r="E1193" s="319"/>
      <c r="F1193" s="319"/>
    </row>
    <row r="1194" spans="3:6" ht="25.05" customHeight="1" x14ac:dyDescent="0.4">
      <c r="C1194" s="274"/>
      <c r="D1194" s="319"/>
      <c r="E1194" s="319"/>
      <c r="F1194" s="319"/>
    </row>
    <row r="1195" spans="3:6" ht="25.05" customHeight="1" x14ac:dyDescent="0.4">
      <c r="C1195" s="274"/>
      <c r="D1195" s="319"/>
      <c r="E1195" s="319"/>
      <c r="F1195" s="319"/>
    </row>
    <row r="1196" spans="3:6" ht="25.05" customHeight="1" x14ac:dyDescent="0.4">
      <c r="C1196" s="274"/>
      <c r="D1196" s="319"/>
      <c r="E1196" s="319"/>
      <c r="F1196" s="319"/>
    </row>
    <row r="1197" spans="3:6" ht="25.05" customHeight="1" x14ac:dyDescent="0.4">
      <c r="C1197" s="274"/>
      <c r="D1197" s="319"/>
      <c r="E1197" s="319"/>
      <c r="F1197" s="319"/>
    </row>
    <row r="1198" spans="3:6" ht="25.05" customHeight="1" x14ac:dyDescent="0.4">
      <c r="C1198" s="274"/>
      <c r="D1198" s="319"/>
      <c r="E1198" s="319"/>
      <c r="F1198" s="319"/>
    </row>
    <row r="1199" spans="3:6" ht="25.05" customHeight="1" x14ac:dyDescent="0.4">
      <c r="C1199" s="274"/>
      <c r="D1199" s="319"/>
      <c r="E1199" s="319"/>
      <c r="F1199" s="319"/>
    </row>
    <row r="1200" spans="3:6" ht="25.05" customHeight="1" x14ac:dyDescent="0.4">
      <c r="C1200" s="274"/>
      <c r="D1200" s="319"/>
      <c r="E1200" s="319"/>
      <c r="F1200" s="319"/>
    </row>
    <row r="1201" spans="3:6" ht="25.05" customHeight="1" x14ac:dyDescent="0.4">
      <c r="C1201" s="274"/>
      <c r="D1201" s="319"/>
      <c r="E1201" s="319"/>
      <c r="F1201" s="319"/>
    </row>
    <row r="1202" spans="3:6" ht="25.05" customHeight="1" x14ac:dyDescent="0.4">
      <c r="C1202" s="274"/>
      <c r="D1202" s="319"/>
      <c r="E1202" s="319"/>
      <c r="F1202" s="319"/>
    </row>
    <row r="1203" spans="3:6" ht="25.05" customHeight="1" x14ac:dyDescent="0.4">
      <c r="C1203" s="274"/>
      <c r="D1203" s="319"/>
      <c r="E1203" s="319"/>
      <c r="F1203" s="319"/>
    </row>
    <row r="1204" spans="3:6" ht="25.05" customHeight="1" x14ac:dyDescent="0.4">
      <c r="C1204" s="274"/>
      <c r="D1204" s="319"/>
      <c r="E1204" s="319"/>
      <c r="F1204" s="319"/>
    </row>
    <row r="1205" spans="3:6" ht="25.05" customHeight="1" x14ac:dyDescent="0.4">
      <c r="C1205" s="274"/>
      <c r="D1205" s="319"/>
      <c r="E1205" s="319"/>
      <c r="F1205" s="319"/>
    </row>
    <row r="1206" spans="3:6" ht="25.05" customHeight="1" x14ac:dyDescent="0.4">
      <c r="C1206" s="274"/>
      <c r="D1206" s="319"/>
      <c r="E1206" s="319"/>
      <c r="F1206" s="319"/>
    </row>
    <row r="1207" spans="3:6" ht="25.05" customHeight="1" x14ac:dyDescent="0.4">
      <c r="C1207" s="274"/>
      <c r="D1207" s="319"/>
      <c r="E1207" s="319"/>
      <c r="F1207" s="319"/>
    </row>
    <row r="1208" spans="3:6" ht="25.05" customHeight="1" x14ac:dyDescent="0.4">
      <c r="C1208" s="274"/>
      <c r="D1208" s="319"/>
      <c r="E1208" s="319"/>
      <c r="F1208" s="319"/>
    </row>
    <row r="1209" spans="3:6" ht="25.05" customHeight="1" x14ac:dyDescent="0.4">
      <c r="C1209" s="274"/>
      <c r="D1209" s="319"/>
      <c r="E1209" s="319"/>
      <c r="F1209" s="319"/>
    </row>
    <row r="1210" spans="3:6" ht="25.05" customHeight="1" x14ac:dyDescent="0.4">
      <c r="C1210" s="274"/>
      <c r="D1210" s="319"/>
      <c r="E1210" s="319"/>
      <c r="F1210" s="319"/>
    </row>
    <row r="1211" spans="3:6" ht="25.05" customHeight="1" x14ac:dyDescent="0.4">
      <c r="C1211" s="274"/>
      <c r="D1211" s="319"/>
      <c r="E1211" s="319"/>
      <c r="F1211" s="319"/>
    </row>
    <row r="1212" spans="3:6" ht="25.05" customHeight="1" x14ac:dyDescent="0.4">
      <c r="C1212" s="274"/>
      <c r="D1212" s="319"/>
      <c r="E1212" s="319"/>
      <c r="F1212" s="319"/>
    </row>
    <row r="1213" spans="3:6" ht="25.05" customHeight="1" x14ac:dyDescent="0.4">
      <c r="C1213" s="274"/>
      <c r="D1213" s="319"/>
      <c r="E1213" s="319"/>
      <c r="F1213" s="319"/>
    </row>
    <row r="1214" spans="3:6" ht="25.05" customHeight="1" x14ac:dyDescent="0.4">
      <c r="C1214" s="274"/>
      <c r="D1214" s="319"/>
      <c r="E1214" s="319"/>
      <c r="F1214" s="319"/>
    </row>
    <row r="1215" spans="3:6" ht="25.05" customHeight="1" x14ac:dyDescent="0.4">
      <c r="C1215" s="274"/>
      <c r="D1215" s="319"/>
      <c r="E1215" s="319"/>
      <c r="F1215" s="319"/>
    </row>
    <row r="1216" spans="3:6" ht="25.05" customHeight="1" x14ac:dyDescent="0.4">
      <c r="C1216" s="274"/>
      <c r="D1216" s="319"/>
      <c r="E1216" s="319"/>
      <c r="F1216" s="319"/>
    </row>
    <row r="1217" spans="3:6" ht="25.05" customHeight="1" x14ac:dyDescent="0.4">
      <c r="C1217" s="274"/>
      <c r="D1217" s="319"/>
      <c r="E1217" s="319"/>
      <c r="F1217" s="319"/>
    </row>
    <row r="1218" spans="3:6" ht="25.05" customHeight="1" x14ac:dyDescent="0.4">
      <c r="C1218" s="274"/>
      <c r="D1218" s="319"/>
      <c r="E1218" s="319"/>
      <c r="F1218" s="319"/>
    </row>
    <row r="1219" spans="3:6" ht="25.05" customHeight="1" x14ac:dyDescent="0.4">
      <c r="C1219" s="274"/>
      <c r="D1219" s="319"/>
      <c r="E1219" s="319"/>
      <c r="F1219" s="319"/>
    </row>
    <row r="1220" spans="3:6" ht="25.05" customHeight="1" x14ac:dyDescent="0.4">
      <c r="C1220" s="274"/>
      <c r="D1220" s="319"/>
      <c r="E1220" s="319"/>
      <c r="F1220" s="319"/>
    </row>
    <row r="1221" spans="3:6" ht="25.05" customHeight="1" x14ac:dyDescent="0.4">
      <c r="C1221" s="274"/>
      <c r="D1221" s="319"/>
      <c r="E1221" s="319"/>
      <c r="F1221" s="319"/>
    </row>
    <row r="1222" spans="3:6" ht="25.05" customHeight="1" x14ac:dyDescent="0.4">
      <c r="C1222" s="274"/>
      <c r="D1222" s="319"/>
      <c r="E1222" s="319"/>
      <c r="F1222" s="319"/>
    </row>
    <row r="1223" spans="3:6" ht="25.05" customHeight="1" x14ac:dyDescent="0.4">
      <c r="C1223" s="274"/>
      <c r="D1223" s="319"/>
      <c r="E1223" s="319"/>
      <c r="F1223" s="319"/>
    </row>
    <row r="1224" spans="3:6" ht="25.05" customHeight="1" x14ac:dyDescent="0.4">
      <c r="C1224" s="274"/>
      <c r="D1224" s="319"/>
      <c r="E1224" s="319"/>
      <c r="F1224" s="319"/>
    </row>
    <row r="1225" spans="3:6" ht="25.05" customHeight="1" x14ac:dyDescent="0.4">
      <c r="C1225" s="274"/>
      <c r="D1225" s="319"/>
      <c r="E1225" s="319"/>
      <c r="F1225" s="319"/>
    </row>
    <row r="1226" spans="3:6" ht="25.05" customHeight="1" x14ac:dyDescent="0.4">
      <c r="C1226" s="274"/>
      <c r="D1226" s="319"/>
      <c r="E1226" s="319"/>
      <c r="F1226" s="319"/>
    </row>
    <row r="1227" spans="3:6" ht="25.05" customHeight="1" x14ac:dyDescent="0.4">
      <c r="C1227" s="274"/>
      <c r="D1227" s="319"/>
      <c r="E1227" s="319"/>
      <c r="F1227" s="319"/>
    </row>
    <row r="1228" spans="3:6" ht="25.05" customHeight="1" x14ac:dyDescent="0.4">
      <c r="C1228" s="274"/>
      <c r="D1228" s="319"/>
      <c r="E1228" s="319"/>
      <c r="F1228" s="319"/>
    </row>
    <row r="1229" spans="3:6" ht="25.05" customHeight="1" x14ac:dyDescent="0.4">
      <c r="C1229" s="274"/>
      <c r="D1229" s="319"/>
      <c r="E1229" s="319"/>
      <c r="F1229" s="319"/>
    </row>
    <row r="1230" spans="3:6" ht="25.05" customHeight="1" x14ac:dyDescent="0.4">
      <c r="C1230" s="274"/>
      <c r="D1230" s="319"/>
      <c r="E1230" s="319"/>
      <c r="F1230" s="319"/>
    </row>
    <row r="1231" spans="3:6" ht="25.05" customHeight="1" x14ac:dyDescent="0.4">
      <c r="C1231" s="274"/>
      <c r="D1231" s="319"/>
      <c r="E1231" s="319"/>
      <c r="F1231" s="319"/>
    </row>
    <row r="1232" spans="3:6" ht="25.05" customHeight="1" x14ac:dyDescent="0.4">
      <c r="C1232" s="274"/>
      <c r="D1232" s="319"/>
      <c r="E1232" s="319"/>
      <c r="F1232" s="319"/>
    </row>
    <row r="1233" spans="3:6" ht="25.05" customHeight="1" x14ac:dyDescent="0.4">
      <c r="C1233" s="274"/>
      <c r="D1233" s="319"/>
      <c r="E1233" s="319"/>
      <c r="F1233" s="319"/>
    </row>
    <row r="1234" spans="3:6" ht="25.05" customHeight="1" x14ac:dyDescent="0.4">
      <c r="C1234" s="274"/>
      <c r="D1234" s="319"/>
      <c r="E1234" s="319"/>
      <c r="F1234" s="319"/>
    </row>
    <row r="1235" spans="3:6" ht="25.05" customHeight="1" x14ac:dyDescent="0.4">
      <c r="C1235" s="274"/>
      <c r="D1235" s="319"/>
      <c r="E1235" s="319"/>
      <c r="F1235" s="319"/>
    </row>
    <row r="1236" spans="3:6" ht="25.05" customHeight="1" x14ac:dyDescent="0.4">
      <c r="C1236" s="274"/>
      <c r="D1236" s="319"/>
      <c r="E1236" s="319"/>
      <c r="F1236" s="319"/>
    </row>
    <row r="1237" spans="3:6" ht="25.05" customHeight="1" x14ac:dyDescent="0.4">
      <c r="C1237" s="274"/>
      <c r="D1237" s="319"/>
      <c r="E1237" s="319"/>
      <c r="F1237" s="319"/>
    </row>
    <row r="1238" spans="3:6" ht="25.05" customHeight="1" x14ac:dyDescent="0.4">
      <c r="C1238" s="274"/>
      <c r="D1238" s="319"/>
      <c r="E1238" s="319"/>
      <c r="F1238" s="319"/>
    </row>
    <row r="1239" spans="3:6" ht="25.05" customHeight="1" x14ac:dyDescent="0.4">
      <c r="C1239" s="274"/>
      <c r="D1239" s="319"/>
      <c r="E1239" s="319"/>
      <c r="F1239" s="319"/>
    </row>
    <row r="1240" spans="3:6" ht="25.05" customHeight="1" x14ac:dyDescent="0.4">
      <c r="C1240" s="274"/>
      <c r="D1240" s="319"/>
      <c r="E1240" s="319"/>
      <c r="F1240" s="319"/>
    </row>
    <row r="1241" spans="3:6" ht="25.05" customHeight="1" x14ac:dyDescent="0.4">
      <c r="C1241" s="274"/>
      <c r="D1241" s="319"/>
      <c r="E1241" s="319"/>
      <c r="F1241" s="319"/>
    </row>
    <row r="1242" spans="3:6" ht="25.05" customHeight="1" x14ac:dyDescent="0.4">
      <c r="C1242" s="274"/>
      <c r="D1242" s="319"/>
      <c r="E1242" s="319"/>
      <c r="F1242" s="319"/>
    </row>
    <row r="1243" spans="3:6" ht="25.05" customHeight="1" x14ac:dyDescent="0.4">
      <c r="C1243" s="274"/>
      <c r="D1243" s="319"/>
      <c r="E1243" s="319"/>
      <c r="F1243" s="319"/>
    </row>
    <row r="1244" spans="3:6" ht="25.05" customHeight="1" x14ac:dyDescent="0.4">
      <c r="C1244" s="274"/>
      <c r="D1244" s="319"/>
      <c r="E1244" s="319"/>
      <c r="F1244" s="319"/>
    </row>
    <row r="1245" spans="3:6" ht="25.05" customHeight="1" x14ac:dyDescent="0.4">
      <c r="C1245" s="274"/>
      <c r="D1245" s="319"/>
      <c r="E1245" s="319"/>
      <c r="F1245" s="319"/>
    </row>
    <row r="1246" spans="3:6" ht="25.05" customHeight="1" x14ac:dyDescent="0.4">
      <c r="C1246" s="274"/>
      <c r="D1246" s="319"/>
      <c r="E1246" s="319"/>
      <c r="F1246" s="319"/>
    </row>
    <row r="1247" spans="3:6" ht="25.05" customHeight="1" x14ac:dyDescent="0.4">
      <c r="C1247" s="274"/>
      <c r="D1247" s="319"/>
      <c r="E1247" s="319"/>
      <c r="F1247" s="319"/>
    </row>
    <row r="1248" spans="3:6" ht="25.05" customHeight="1" x14ac:dyDescent="0.4">
      <c r="C1248" s="274"/>
      <c r="D1248" s="319"/>
      <c r="E1248" s="319"/>
      <c r="F1248" s="319"/>
    </row>
    <row r="1249" spans="3:6" ht="25.05" customHeight="1" x14ac:dyDescent="0.4">
      <c r="C1249" s="274"/>
      <c r="D1249" s="319"/>
      <c r="E1249" s="319"/>
      <c r="F1249" s="319"/>
    </row>
    <row r="1250" spans="3:6" ht="25.05" customHeight="1" x14ac:dyDescent="0.4">
      <c r="C1250" s="274"/>
      <c r="D1250" s="319"/>
      <c r="E1250" s="319"/>
      <c r="F1250" s="319"/>
    </row>
    <row r="1251" spans="3:6" ht="25.05" customHeight="1" x14ac:dyDescent="0.4">
      <c r="C1251" s="274"/>
      <c r="D1251" s="319"/>
      <c r="E1251" s="319"/>
      <c r="F1251" s="319"/>
    </row>
    <row r="1252" spans="3:6" ht="25.05" customHeight="1" x14ac:dyDescent="0.4">
      <c r="C1252" s="274"/>
      <c r="D1252" s="319"/>
      <c r="E1252" s="319"/>
      <c r="F1252" s="319"/>
    </row>
    <row r="1253" spans="3:6" ht="25.05" customHeight="1" x14ac:dyDescent="0.4">
      <c r="C1253" s="274"/>
      <c r="D1253" s="319"/>
      <c r="E1253" s="319"/>
      <c r="F1253" s="319"/>
    </row>
    <row r="1254" spans="3:6" ht="25.05" customHeight="1" x14ac:dyDescent="0.4">
      <c r="C1254" s="274"/>
      <c r="D1254" s="319"/>
      <c r="E1254" s="319"/>
      <c r="F1254" s="319"/>
    </row>
    <row r="1255" spans="3:6" ht="25.05" customHeight="1" x14ac:dyDescent="0.4">
      <c r="C1255" s="274"/>
      <c r="D1255" s="319"/>
      <c r="E1255" s="319"/>
      <c r="F1255" s="319"/>
    </row>
    <row r="1256" spans="3:6" ht="25.05" customHeight="1" x14ac:dyDescent="0.4">
      <c r="C1256" s="274"/>
      <c r="D1256" s="319"/>
      <c r="E1256" s="319"/>
      <c r="F1256" s="319"/>
    </row>
    <row r="1257" spans="3:6" ht="25.05" customHeight="1" x14ac:dyDescent="0.4">
      <c r="C1257" s="274"/>
      <c r="D1257" s="319"/>
      <c r="E1257" s="319"/>
      <c r="F1257" s="319"/>
    </row>
    <row r="1258" spans="3:6" ht="25.05" customHeight="1" x14ac:dyDescent="0.4">
      <c r="C1258" s="274"/>
      <c r="D1258" s="319"/>
      <c r="E1258" s="319"/>
      <c r="F1258" s="319"/>
    </row>
    <row r="1259" spans="3:6" ht="25.05" customHeight="1" x14ac:dyDescent="0.4">
      <c r="C1259" s="274"/>
      <c r="D1259" s="319"/>
      <c r="E1259" s="319"/>
      <c r="F1259" s="319"/>
    </row>
    <row r="1260" spans="3:6" ht="25.05" customHeight="1" x14ac:dyDescent="0.4">
      <c r="C1260" s="274"/>
      <c r="D1260" s="319"/>
      <c r="E1260" s="319"/>
      <c r="F1260" s="319"/>
    </row>
    <row r="1261" spans="3:6" ht="25.05" customHeight="1" x14ac:dyDescent="0.4">
      <c r="C1261" s="274"/>
      <c r="D1261" s="319"/>
      <c r="E1261" s="319"/>
      <c r="F1261" s="319"/>
    </row>
    <row r="1262" spans="3:6" ht="25.05" customHeight="1" x14ac:dyDescent="0.4">
      <c r="C1262" s="274"/>
      <c r="D1262" s="319"/>
      <c r="E1262" s="319"/>
      <c r="F1262" s="319"/>
    </row>
    <row r="1263" spans="3:6" ht="25.05" customHeight="1" x14ac:dyDescent="0.4">
      <c r="C1263" s="274"/>
      <c r="D1263" s="319"/>
      <c r="E1263" s="319"/>
      <c r="F1263" s="319"/>
    </row>
    <row r="1264" spans="3:6" ht="25.05" customHeight="1" x14ac:dyDescent="0.4">
      <c r="C1264" s="274"/>
      <c r="D1264" s="319"/>
      <c r="E1264" s="319"/>
      <c r="F1264" s="319"/>
    </row>
    <row r="1265" spans="3:6" ht="25.05" customHeight="1" x14ac:dyDescent="0.4">
      <c r="C1265" s="274"/>
      <c r="D1265" s="319"/>
      <c r="E1265" s="319"/>
      <c r="F1265" s="319"/>
    </row>
    <row r="1266" spans="3:6" ht="25.05" customHeight="1" x14ac:dyDescent="0.4">
      <c r="C1266" s="274"/>
      <c r="D1266" s="319"/>
      <c r="E1266" s="319"/>
      <c r="F1266" s="319"/>
    </row>
    <row r="1267" spans="3:6" ht="25.05" customHeight="1" x14ac:dyDescent="0.4">
      <c r="C1267" s="274"/>
      <c r="D1267" s="319"/>
      <c r="E1267" s="319"/>
      <c r="F1267" s="319"/>
    </row>
    <row r="1268" spans="3:6" ht="25.05" customHeight="1" x14ac:dyDescent="0.4">
      <c r="C1268" s="274"/>
      <c r="D1268" s="319"/>
      <c r="E1268" s="319"/>
      <c r="F1268" s="319"/>
    </row>
    <row r="1269" spans="3:6" ht="25.05" customHeight="1" x14ac:dyDescent="0.4">
      <c r="C1269" s="274"/>
      <c r="D1269" s="319"/>
      <c r="E1269" s="319"/>
      <c r="F1269" s="319"/>
    </row>
    <row r="1270" spans="3:6" ht="25.05" customHeight="1" x14ac:dyDescent="0.4">
      <c r="C1270" s="274"/>
      <c r="D1270" s="319"/>
      <c r="E1270" s="319"/>
      <c r="F1270" s="319"/>
    </row>
    <row r="1271" spans="3:6" ht="25.05" customHeight="1" x14ac:dyDescent="0.4">
      <c r="C1271" s="274"/>
      <c r="D1271" s="319"/>
      <c r="E1271" s="319"/>
      <c r="F1271" s="319"/>
    </row>
    <row r="1272" spans="3:6" ht="25.05" customHeight="1" x14ac:dyDescent="0.4">
      <c r="C1272" s="274"/>
      <c r="D1272" s="319"/>
      <c r="E1272" s="319"/>
      <c r="F1272" s="319"/>
    </row>
    <row r="1273" spans="3:6" ht="25.05" customHeight="1" x14ac:dyDescent="0.4">
      <c r="C1273" s="274"/>
      <c r="D1273" s="319"/>
      <c r="E1273" s="319"/>
      <c r="F1273" s="319"/>
    </row>
    <row r="1274" spans="3:6" ht="25.05" customHeight="1" x14ac:dyDescent="0.4">
      <c r="C1274" s="274"/>
      <c r="D1274" s="319"/>
      <c r="E1274" s="319"/>
      <c r="F1274" s="319"/>
    </row>
    <row r="1275" spans="3:6" ht="25.05" customHeight="1" x14ac:dyDescent="0.4">
      <c r="C1275" s="274"/>
      <c r="D1275" s="319"/>
      <c r="E1275" s="319"/>
      <c r="F1275" s="319"/>
    </row>
    <row r="1276" spans="3:6" ht="25.05" customHeight="1" x14ac:dyDescent="0.4">
      <c r="C1276" s="274"/>
      <c r="D1276" s="319"/>
      <c r="E1276" s="319"/>
      <c r="F1276" s="319"/>
    </row>
    <row r="1277" spans="3:6" ht="25.05" customHeight="1" x14ac:dyDescent="0.4">
      <c r="C1277" s="274"/>
      <c r="D1277" s="319"/>
      <c r="E1277" s="319"/>
      <c r="F1277" s="319"/>
    </row>
    <row r="1278" spans="3:6" ht="25.05" customHeight="1" x14ac:dyDescent="0.4">
      <c r="C1278" s="274"/>
      <c r="D1278" s="319"/>
      <c r="E1278" s="319"/>
      <c r="F1278" s="319"/>
    </row>
    <row r="1279" spans="3:6" ht="25.05" customHeight="1" x14ac:dyDescent="0.4">
      <c r="C1279" s="274"/>
      <c r="D1279" s="319"/>
      <c r="E1279" s="319"/>
      <c r="F1279" s="319"/>
    </row>
    <row r="1280" spans="3:6" ht="25.05" customHeight="1" x14ac:dyDescent="0.4">
      <c r="C1280" s="274"/>
      <c r="D1280" s="319"/>
      <c r="E1280" s="319"/>
      <c r="F1280" s="319"/>
    </row>
    <row r="1281" spans="3:6" ht="25.05" customHeight="1" x14ac:dyDescent="0.4">
      <c r="C1281" s="274"/>
      <c r="D1281" s="319"/>
      <c r="E1281" s="319"/>
      <c r="F1281" s="319"/>
    </row>
    <row r="1282" spans="3:6" ht="25.05" customHeight="1" x14ac:dyDescent="0.4">
      <c r="C1282" s="274"/>
      <c r="D1282" s="319"/>
      <c r="E1282" s="319"/>
      <c r="F1282" s="319"/>
    </row>
    <row r="1283" spans="3:6" ht="25.05" customHeight="1" x14ac:dyDescent="0.4">
      <c r="C1283" s="274"/>
      <c r="D1283" s="319"/>
      <c r="E1283" s="319"/>
      <c r="F1283" s="319"/>
    </row>
    <row r="1284" spans="3:6" ht="25.05" customHeight="1" x14ac:dyDescent="0.4">
      <c r="C1284" s="274"/>
      <c r="D1284" s="319"/>
      <c r="E1284" s="319"/>
      <c r="F1284" s="319"/>
    </row>
    <row r="1285" spans="3:6" ht="25.05" customHeight="1" x14ac:dyDescent="0.4">
      <c r="C1285" s="274"/>
      <c r="D1285" s="319"/>
      <c r="E1285" s="319"/>
      <c r="F1285" s="319"/>
    </row>
    <row r="1286" spans="3:6" ht="25.05" customHeight="1" x14ac:dyDescent="0.4">
      <c r="C1286" s="274"/>
      <c r="D1286" s="319"/>
      <c r="E1286" s="319"/>
      <c r="F1286" s="319"/>
    </row>
    <row r="1287" spans="3:6" ht="25.05" customHeight="1" x14ac:dyDescent="0.4">
      <c r="C1287" s="274"/>
      <c r="D1287" s="319"/>
      <c r="E1287" s="319"/>
      <c r="F1287" s="319"/>
    </row>
    <row r="1288" spans="3:6" ht="25.05" customHeight="1" x14ac:dyDescent="0.4">
      <c r="C1288" s="274"/>
      <c r="D1288" s="319"/>
      <c r="E1288" s="319"/>
      <c r="F1288" s="319"/>
    </row>
    <row r="1289" spans="3:6" ht="25.05" customHeight="1" x14ac:dyDescent="0.4">
      <c r="C1289" s="274"/>
      <c r="D1289" s="319"/>
      <c r="E1289" s="319"/>
      <c r="F1289" s="319"/>
    </row>
    <row r="1290" spans="3:6" ht="25.05" customHeight="1" x14ac:dyDescent="0.4">
      <c r="C1290" s="274"/>
      <c r="D1290" s="319"/>
      <c r="E1290" s="319"/>
      <c r="F1290" s="319"/>
    </row>
    <row r="1291" spans="3:6" ht="25.05" customHeight="1" x14ac:dyDescent="0.4">
      <c r="C1291" s="274"/>
      <c r="D1291" s="319"/>
      <c r="E1291" s="319"/>
      <c r="F1291" s="319"/>
    </row>
    <row r="1292" spans="3:6" ht="25.05" customHeight="1" x14ac:dyDescent="0.4">
      <c r="C1292" s="274"/>
      <c r="D1292" s="319"/>
      <c r="E1292" s="319"/>
      <c r="F1292" s="319"/>
    </row>
    <row r="1293" spans="3:6" ht="25.05" customHeight="1" x14ac:dyDescent="0.4">
      <c r="C1293" s="274"/>
      <c r="D1293" s="319"/>
      <c r="E1293" s="319"/>
      <c r="F1293" s="319"/>
    </row>
    <row r="1294" spans="3:6" ht="25.05" customHeight="1" x14ac:dyDescent="0.4">
      <c r="C1294" s="274"/>
      <c r="D1294" s="319"/>
      <c r="E1294" s="319"/>
      <c r="F1294" s="319"/>
    </row>
    <row r="1295" spans="3:6" ht="25.05" customHeight="1" x14ac:dyDescent="0.4">
      <c r="C1295" s="274"/>
      <c r="D1295" s="319"/>
      <c r="E1295" s="319"/>
      <c r="F1295" s="319"/>
    </row>
    <row r="1296" spans="3:6" ht="25.05" customHeight="1" x14ac:dyDescent="0.4">
      <c r="C1296" s="274"/>
      <c r="D1296" s="319"/>
      <c r="E1296" s="319"/>
      <c r="F1296" s="319"/>
    </row>
    <row r="1297" spans="3:6" ht="25.05" customHeight="1" x14ac:dyDescent="0.4">
      <c r="C1297" s="274"/>
      <c r="D1297" s="319"/>
      <c r="E1297" s="319"/>
      <c r="F1297" s="319"/>
    </row>
    <row r="1298" spans="3:6" ht="25.05" customHeight="1" x14ac:dyDescent="0.4">
      <c r="C1298" s="274"/>
      <c r="D1298" s="319"/>
      <c r="E1298" s="319"/>
      <c r="F1298" s="319"/>
    </row>
    <row r="1299" spans="3:6" ht="25.05" customHeight="1" x14ac:dyDescent="0.4">
      <c r="C1299" s="274"/>
      <c r="D1299" s="319"/>
      <c r="E1299" s="319"/>
      <c r="F1299" s="319"/>
    </row>
    <row r="1300" spans="3:6" ht="25.05" customHeight="1" x14ac:dyDescent="0.4">
      <c r="C1300" s="274"/>
      <c r="D1300" s="319"/>
      <c r="E1300" s="319"/>
      <c r="F1300" s="319"/>
    </row>
    <row r="1301" spans="3:6" ht="25.05" customHeight="1" x14ac:dyDescent="0.4">
      <c r="C1301" s="274"/>
      <c r="D1301" s="319"/>
      <c r="E1301" s="319"/>
      <c r="F1301" s="319"/>
    </row>
    <row r="1302" spans="3:6" ht="25.05" customHeight="1" x14ac:dyDescent="0.4">
      <c r="C1302" s="274"/>
      <c r="D1302" s="319"/>
      <c r="E1302" s="319"/>
      <c r="F1302" s="319"/>
    </row>
    <row r="1303" spans="3:6" ht="25.05" customHeight="1" x14ac:dyDescent="0.4">
      <c r="C1303" s="274"/>
      <c r="D1303" s="319"/>
      <c r="E1303" s="319"/>
      <c r="F1303" s="319"/>
    </row>
    <row r="1304" spans="3:6" ht="25.05" customHeight="1" x14ac:dyDescent="0.4">
      <c r="C1304" s="274"/>
      <c r="D1304" s="319"/>
      <c r="E1304" s="319"/>
      <c r="F1304" s="319"/>
    </row>
    <row r="1305" spans="3:6" ht="25.05" customHeight="1" x14ac:dyDescent="0.4">
      <c r="C1305" s="274"/>
      <c r="D1305" s="319"/>
      <c r="E1305" s="319"/>
      <c r="F1305" s="319"/>
    </row>
    <row r="1306" spans="3:6" ht="25.05" customHeight="1" x14ac:dyDescent="0.4">
      <c r="C1306" s="274"/>
      <c r="D1306" s="319"/>
      <c r="E1306" s="319"/>
      <c r="F1306" s="319"/>
    </row>
    <row r="1307" spans="3:6" ht="25.05" customHeight="1" x14ac:dyDescent="0.4">
      <c r="C1307" s="274"/>
      <c r="D1307" s="319"/>
      <c r="E1307" s="319"/>
      <c r="F1307" s="319"/>
    </row>
    <row r="1308" spans="3:6" ht="25.05" customHeight="1" x14ac:dyDescent="0.4">
      <c r="C1308" s="274"/>
      <c r="D1308" s="319"/>
      <c r="E1308" s="319"/>
      <c r="F1308" s="319"/>
    </row>
    <row r="1309" spans="3:6" ht="25.05" customHeight="1" x14ac:dyDescent="0.4">
      <c r="C1309" s="274"/>
      <c r="D1309" s="319"/>
      <c r="E1309" s="319"/>
      <c r="F1309" s="319"/>
    </row>
    <row r="1310" spans="3:6" ht="25.05" customHeight="1" x14ac:dyDescent="0.4">
      <c r="C1310" s="274"/>
      <c r="D1310" s="319"/>
      <c r="E1310" s="319"/>
      <c r="F1310" s="319"/>
    </row>
    <row r="1311" spans="3:6" ht="25.05" customHeight="1" x14ac:dyDescent="0.4">
      <c r="C1311" s="274"/>
      <c r="D1311" s="319"/>
      <c r="E1311" s="319"/>
      <c r="F1311" s="319"/>
    </row>
    <row r="1312" spans="3:6" ht="25.05" customHeight="1" x14ac:dyDescent="0.4">
      <c r="C1312" s="274"/>
      <c r="D1312" s="319"/>
      <c r="E1312" s="319"/>
      <c r="F1312" s="319"/>
    </row>
    <row r="1313" spans="3:6" ht="25.05" customHeight="1" x14ac:dyDescent="0.4">
      <c r="C1313" s="274"/>
      <c r="D1313" s="319"/>
      <c r="E1313" s="319"/>
      <c r="F1313" s="319"/>
    </row>
    <row r="1314" spans="3:6" ht="25.05" customHeight="1" x14ac:dyDescent="0.4">
      <c r="C1314" s="274"/>
      <c r="D1314" s="319"/>
      <c r="E1314" s="319"/>
      <c r="F1314" s="319"/>
    </row>
    <row r="1315" spans="3:6" ht="25.05" customHeight="1" x14ac:dyDescent="0.4">
      <c r="C1315" s="274"/>
      <c r="D1315" s="319"/>
      <c r="E1315" s="319"/>
      <c r="F1315" s="319"/>
    </row>
    <row r="1316" spans="3:6" ht="25.05" customHeight="1" x14ac:dyDescent="0.4">
      <c r="C1316" s="274"/>
      <c r="D1316" s="319"/>
      <c r="E1316" s="319"/>
      <c r="F1316" s="319"/>
    </row>
    <row r="1317" spans="3:6" ht="25.05" customHeight="1" x14ac:dyDescent="0.4">
      <c r="C1317" s="274"/>
      <c r="D1317" s="319"/>
      <c r="E1317" s="319"/>
      <c r="F1317" s="319"/>
    </row>
    <row r="1318" spans="3:6" ht="25.05" customHeight="1" x14ac:dyDescent="0.4">
      <c r="C1318" s="274"/>
      <c r="D1318" s="319"/>
      <c r="E1318" s="319"/>
      <c r="F1318" s="319"/>
    </row>
    <row r="1319" spans="3:6" ht="25.05" customHeight="1" x14ac:dyDescent="0.4">
      <c r="C1319" s="274"/>
      <c r="D1319" s="319"/>
      <c r="E1319" s="319"/>
      <c r="F1319" s="319"/>
    </row>
    <row r="1320" spans="3:6" ht="25.05" customHeight="1" x14ac:dyDescent="0.4">
      <c r="C1320" s="274"/>
      <c r="D1320" s="319"/>
      <c r="E1320" s="319"/>
      <c r="F1320" s="319"/>
    </row>
    <row r="1321" spans="3:6" ht="25.05" customHeight="1" x14ac:dyDescent="0.4">
      <c r="C1321" s="274"/>
      <c r="D1321" s="319"/>
      <c r="E1321" s="319"/>
      <c r="F1321" s="319"/>
    </row>
    <row r="1322" spans="3:6" ht="25.05" customHeight="1" x14ac:dyDescent="0.4">
      <c r="C1322" s="274"/>
      <c r="D1322" s="319"/>
      <c r="E1322" s="319"/>
      <c r="F1322" s="319"/>
    </row>
    <row r="1323" spans="3:6" ht="25.05" customHeight="1" x14ac:dyDescent="0.4">
      <c r="C1323" s="274"/>
      <c r="D1323" s="319"/>
      <c r="E1323" s="319"/>
      <c r="F1323" s="319"/>
    </row>
    <row r="1324" spans="3:6" ht="25.05" customHeight="1" x14ac:dyDescent="0.4">
      <c r="C1324" s="274"/>
      <c r="D1324" s="319"/>
      <c r="E1324" s="319"/>
      <c r="F1324" s="319"/>
    </row>
    <row r="1325" spans="3:6" ht="25.05" customHeight="1" x14ac:dyDescent="0.4">
      <c r="C1325" s="274"/>
      <c r="D1325" s="319"/>
      <c r="E1325" s="319"/>
      <c r="F1325" s="319"/>
    </row>
    <row r="1326" spans="3:6" ht="25.05" customHeight="1" x14ac:dyDescent="0.4">
      <c r="C1326" s="274"/>
      <c r="D1326" s="319"/>
      <c r="E1326" s="319"/>
      <c r="F1326" s="319"/>
    </row>
    <row r="1327" spans="3:6" ht="25.05" customHeight="1" x14ac:dyDescent="0.4">
      <c r="C1327" s="274"/>
      <c r="D1327" s="319"/>
      <c r="E1327" s="319"/>
      <c r="F1327" s="319"/>
    </row>
    <row r="1328" spans="3:6" ht="25.05" customHeight="1" x14ac:dyDescent="0.4">
      <c r="C1328" s="274"/>
      <c r="D1328" s="319"/>
      <c r="E1328" s="319"/>
      <c r="F1328" s="319"/>
    </row>
    <row r="1329" spans="3:6" ht="25.05" customHeight="1" x14ac:dyDescent="0.4">
      <c r="C1329" s="274"/>
      <c r="D1329" s="319"/>
      <c r="E1329" s="319"/>
      <c r="F1329" s="319"/>
    </row>
    <row r="1330" spans="3:6" ht="25.05" customHeight="1" x14ac:dyDescent="0.4">
      <c r="C1330" s="274"/>
      <c r="D1330" s="319"/>
      <c r="E1330" s="319"/>
      <c r="F1330" s="319"/>
    </row>
    <row r="1331" spans="3:6" ht="25.05" customHeight="1" x14ac:dyDescent="0.4">
      <c r="C1331" s="274"/>
      <c r="D1331" s="319"/>
      <c r="E1331" s="319"/>
      <c r="F1331" s="319"/>
    </row>
    <row r="1332" spans="3:6" ht="25.05" customHeight="1" x14ac:dyDescent="0.4">
      <c r="C1332" s="274"/>
      <c r="D1332" s="319"/>
      <c r="E1332" s="319"/>
      <c r="F1332" s="319"/>
    </row>
    <row r="1333" spans="3:6" ht="25.05" customHeight="1" x14ac:dyDescent="0.4">
      <c r="C1333" s="274"/>
      <c r="D1333" s="319"/>
      <c r="E1333" s="319"/>
      <c r="F1333" s="319"/>
    </row>
    <row r="1334" spans="3:6" ht="25.05" customHeight="1" x14ac:dyDescent="0.4">
      <c r="C1334" s="274"/>
      <c r="D1334" s="319"/>
      <c r="E1334" s="319"/>
      <c r="F1334" s="319"/>
    </row>
    <row r="1335" spans="3:6" ht="25.05" customHeight="1" x14ac:dyDescent="0.4">
      <c r="C1335" s="274"/>
      <c r="D1335" s="319"/>
      <c r="E1335" s="319"/>
      <c r="F1335" s="319"/>
    </row>
    <row r="1336" spans="3:6" ht="25.05" customHeight="1" x14ac:dyDescent="0.4">
      <c r="C1336" s="274"/>
      <c r="D1336" s="319"/>
      <c r="E1336" s="319"/>
      <c r="F1336" s="319"/>
    </row>
    <row r="1337" spans="3:6" ht="25.05" customHeight="1" x14ac:dyDescent="0.4">
      <c r="C1337" s="274"/>
      <c r="D1337" s="319"/>
      <c r="E1337" s="319"/>
      <c r="F1337" s="319"/>
    </row>
    <row r="1338" spans="3:6" ht="25.05" customHeight="1" x14ac:dyDescent="0.4">
      <c r="C1338" s="274"/>
      <c r="D1338" s="319"/>
      <c r="E1338" s="319"/>
      <c r="F1338" s="319"/>
    </row>
    <row r="1339" spans="3:6" ht="25.05" customHeight="1" x14ac:dyDescent="0.4">
      <c r="C1339" s="274"/>
      <c r="D1339" s="319"/>
      <c r="E1339" s="319"/>
      <c r="F1339" s="319"/>
    </row>
    <row r="1340" spans="3:6" ht="25.05" customHeight="1" x14ac:dyDescent="0.4">
      <c r="C1340" s="274"/>
      <c r="D1340" s="319"/>
      <c r="E1340" s="319"/>
      <c r="F1340" s="319"/>
    </row>
    <row r="1341" spans="3:6" ht="25.05" customHeight="1" x14ac:dyDescent="0.4">
      <c r="C1341" s="274"/>
      <c r="D1341" s="319"/>
      <c r="E1341" s="319"/>
      <c r="F1341" s="319"/>
    </row>
    <row r="1342" spans="3:6" ht="25.05" customHeight="1" x14ac:dyDescent="0.4">
      <c r="C1342" s="274"/>
      <c r="D1342" s="319"/>
      <c r="E1342" s="319"/>
      <c r="F1342" s="319"/>
    </row>
    <row r="1343" spans="3:6" ht="25.05" customHeight="1" x14ac:dyDescent="0.4">
      <c r="C1343" s="274"/>
      <c r="D1343" s="319"/>
      <c r="E1343" s="319"/>
      <c r="F1343" s="319"/>
    </row>
    <row r="1344" spans="3:6" ht="25.05" customHeight="1" x14ac:dyDescent="0.4">
      <c r="C1344" s="274"/>
      <c r="D1344" s="319"/>
      <c r="E1344" s="319"/>
      <c r="F1344" s="319"/>
    </row>
    <row r="1345" spans="3:6" ht="25.05" customHeight="1" x14ac:dyDescent="0.4">
      <c r="C1345" s="274"/>
      <c r="D1345" s="319"/>
      <c r="E1345" s="319"/>
      <c r="F1345" s="319"/>
    </row>
    <row r="1346" spans="3:6" ht="25.05" customHeight="1" x14ac:dyDescent="0.4">
      <c r="C1346" s="274"/>
      <c r="D1346" s="319"/>
      <c r="E1346" s="319"/>
      <c r="F1346" s="319"/>
    </row>
    <row r="1347" spans="3:6" ht="25.05" customHeight="1" x14ac:dyDescent="0.4">
      <c r="C1347" s="274"/>
      <c r="D1347" s="319"/>
      <c r="E1347" s="319"/>
      <c r="F1347" s="319"/>
    </row>
    <row r="1348" spans="3:6" ht="25.05" customHeight="1" x14ac:dyDescent="0.4">
      <c r="C1348" s="274"/>
      <c r="D1348" s="319"/>
      <c r="E1348" s="319"/>
      <c r="F1348" s="319"/>
    </row>
    <row r="1349" spans="3:6" ht="25.05" customHeight="1" x14ac:dyDescent="0.4">
      <c r="C1349" s="274"/>
      <c r="D1349" s="319"/>
      <c r="E1349" s="319"/>
      <c r="F1349" s="319"/>
    </row>
    <row r="1350" spans="3:6" ht="25.05" customHeight="1" x14ac:dyDescent="0.4">
      <c r="C1350" s="274"/>
      <c r="D1350" s="319"/>
      <c r="E1350" s="319"/>
      <c r="F1350" s="319"/>
    </row>
    <row r="1351" spans="3:6" ht="25.05" customHeight="1" x14ac:dyDescent="0.4">
      <c r="C1351" s="274"/>
      <c r="D1351" s="319"/>
      <c r="E1351" s="319"/>
      <c r="F1351" s="319"/>
    </row>
    <row r="1352" spans="3:6" ht="25.05" customHeight="1" x14ac:dyDescent="0.4">
      <c r="C1352" s="274"/>
      <c r="D1352" s="319"/>
      <c r="E1352" s="319"/>
      <c r="F1352" s="319"/>
    </row>
    <row r="1353" spans="3:6" ht="25.05" customHeight="1" x14ac:dyDescent="0.4">
      <c r="C1353" s="274"/>
      <c r="D1353" s="319"/>
      <c r="E1353" s="319"/>
      <c r="F1353" s="319"/>
    </row>
    <row r="1354" spans="3:6" ht="25.05" customHeight="1" x14ac:dyDescent="0.4">
      <c r="C1354" s="274"/>
      <c r="D1354" s="319"/>
      <c r="E1354" s="319"/>
      <c r="F1354" s="319"/>
    </row>
    <row r="1355" spans="3:6" ht="25.05" customHeight="1" x14ac:dyDescent="0.4">
      <c r="C1355" s="274"/>
      <c r="D1355" s="319"/>
      <c r="E1355" s="319"/>
      <c r="F1355" s="319"/>
    </row>
    <row r="1356" spans="3:6" ht="25.05" customHeight="1" x14ac:dyDescent="0.4">
      <c r="C1356" s="274"/>
      <c r="D1356" s="319"/>
      <c r="E1356" s="319"/>
      <c r="F1356" s="319"/>
    </row>
    <row r="1357" spans="3:6" ht="25.05" customHeight="1" x14ac:dyDescent="0.4">
      <c r="C1357" s="274"/>
      <c r="D1357" s="319"/>
      <c r="E1357" s="319"/>
      <c r="F1357" s="319"/>
    </row>
    <row r="1358" spans="3:6" ht="25.05" customHeight="1" x14ac:dyDescent="0.4">
      <c r="C1358" s="274"/>
      <c r="D1358" s="319"/>
      <c r="E1358" s="319"/>
      <c r="F1358" s="319"/>
    </row>
    <row r="1359" spans="3:6" ht="25.05" customHeight="1" x14ac:dyDescent="0.4">
      <c r="C1359" s="274"/>
      <c r="D1359" s="319"/>
      <c r="E1359" s="319"/>
      <c r="F1359" s="319"/>
    </row>
    <row r="1360" spans="3:6" ht="25.05" customHeight="1" x14ac:dyDescent="0.4">
      <c r="C1360" s="274"/>
      <c r="D1360" s="319"/>
      <c r="E1360" s="319"/>
      <c r="F1360" s="319"/>
    </row>
    <row r="1361" spans="3:6" ht="25.05" customHeight="1" x14ac:dyDescent="0.4">
      <c r="C1361" s="274"/>
      <c r="D1361" s="319"/>
      <c r="E1361" s="319"/>
      <c r="F1361" s="319"/>
    </row>
    <row r="1362" spans="3:6" ht="25.05" customHeight="1" x14ac:dyDescent="0.4">
      <c r="C1362" s="274"/>
      <c r="D1362" s="319"/>
      <c r="E1362" s="319"/>
      <c r="F1362" s="319"/>
    </row>
    <row r="1363" spans="3:6" ht="25.05" customHeight="1" x14ac:dyDescent="0.4">
      <c r="C1363" s="274"/>
      <c r="D1363" s="319"/>
      <c r="E1363" s="319"/>
      <c r="F1363" s="319"/>
    </row>
    <row r="1364" spans="3:6" ht="25.05" customHeight="1" x14ac:dyDescent="0.4">
      <c r="C1364" s="274"/>
      <c r="D1364" s="319"/>
      <c r="E1364" s="319"/>
      <c r="F1364" s="319"/>
    </row>
    <row r="1365" spans="3:6" ht="25.05" customHeight="1" x14ac:dyDescent="0.4">
      <c r="C1365" s="274"/>
      <c r="D1365" s="319"/>
      <c r="E1365" s="319"/>
      <c r="F1365" s="319"/>
    </row>
    <row r="1366" spans="3:6" ht="25.05" customHeight="1" x14ac:dyDescent="0.4">
      <c r="C1366" s="274"/>
      <c r="D1366" s="319"/>
      <c r="E1366" s="319"/>
      <c r="F1366" s="319"/>
    </row>
    <row r="1367" spans="3:6" ht="25.05" customHeight="1" x14ac:dyDescent="0.4">
      <c r="C1367" s="274"/>
      <c r="D1367" s="319"/>
      <c r="E1367" s="319"/>
      <c r="F1367" s="319"/>
    </row>
    <row r="1368" spans="3:6" ht="25.05" customHeight="1" x14ac:dyDescent="0.4">
      <c r="C1368" s="274"/>
      <c r="D1368" s="319"/>
      <c r="E1368" s="319"/>
      <c r="F1368" s="319"/>
    </row>
    <row r="1369" spans="3:6" ht="25.05" customHeight="1" x14ac:dyDescent="0.4">
      <c r="C1369" s="274"/>
      <c r="D1369" s="319"/>
      <c r="E1369" s="319"/>
      <c r="F1369" s="319"/>
    </row>
    <row r="1370" spans="3:6" ht="25.05" customHeight="1" x14ac:dyDescent="0.4">
      <c r="C1370" s="274"/>
      <c r="D1370" s="319"/>
      <c r="E1370" s="319"/>
      <c r="F1370" s="319"/>
    </row>
    <row r="1371" spans="3:6" ht="25.05" customHeight="1" x14ac:dyDescent="0.4">
      <c r="C1371" s="274"/>
      <c r="D1371" s="319"/>
      <c r="E1371" s="319"/>
      <c r="F1371" s="319"/>
    </row>
    <row r="1372" spans="3:6" ht="25.05" customHeight="1" x14ac:dyDescent="0.4">
      <c r="C1372" s="274"/>
      <c r="D1372" s="319"/>
      <c r="E1372" s="319"/>
      <c r="F1372" s="319"/>
    </row>
    <row r="1373" spans="3:6" ht="25.05" customHeight="1" x14ac:dyDescent="0.4">
      <c r="C1373" s="274"/>
      <c r="D1373" s="319"/>
      <c r="E1373" s="319"/>
      <c r="F1373" s="319"/>
    </row>
    <row r="1374" spans="3:6" ht="25.05" customHeight="1" x14ac:dyDescent="0.4">
      <c r="C1374" s="274"/>
      <c r="D1374" s="319"/>
      <c r="E1374" s="319"/>
      <c r="F1374" s="319"/>
    </row>
    <row r="1375" spans="3:6" ht="25.05" customHeight="1" x14ac:dyDescent="0.4">
      <c r="C1375" s="274"/>
      <c r="D1375" s="319"/>
      <c r="E1375" s="319"/>
      <c r="F1375" s="319"/>
    </row>
    <row r="1376" spans="3:6" ht="25.05" customHeight="1" x14ac:dyDescent="0.4">
      <c r="C1376" s="274"/>
      <c r="D1376" s="319"/>
      <c r="E1376" s="319"/>
      <c r="F1376" s="319"/>
    </row>
    <row r="1377" spans="3:6" ht="25.05" customHeight="1" x14ac:dyDescent="0.4">
      <c r="C1377" s="274"/>
      <c r="D1377" s="319"/>
      <c r="E1377" s="319"/>
      <c r="F1377" s="319"/>
    </row>
    <row r="1378" spans="3:6" ht="25.05" customHeight="1" x14ac:dyDescent="0.4">
      <c r="C1378" s="274"/>
      <c r="D1378" s="319"/>
      <c r="E1378" s="319"/>
      <c r="F1378" s="319"/>
    </row>
    <row r="1379" spans="3:6" ht="25.05" customHeight="1" x14ac:dyDescent="0.4">
      <c r="C1379" s="274"/>
      <c r="D1379" s="319"/>
      <c r="E1379" s="319"/>
      <c r="F1379" s="319"/>
    </row>
    <row r="1380" spans="3:6" ht="25.05" customHeight="1" x14ac:dyDescent="0.4">
      <c r="C1380" s="274"/>
      <c r="D1380" s="319"/>
      <c r="E1380" s="319"/>
      <c r="F1380" s="319"/>
    </row>
    <row r="1381" spans="3:6" ht="25.05" customHeight="1" x14ac:dyDescent="0.4">
      <c r="C1381" s="274"/>
      <c r="D1381" s="319"/>
      <c r="E1381" s="319"/>
      <c r="F1381" s="319"/>
    </row>
    <row r="1382" spans="3:6" ht="25.05" customHeight="1" x14ac:dyDescent="0.4">
      <c r="C1382" s="274"/>
      <c r="D1382" s="319"/>
      <c r="E1382" s="319"/>
      <c r="F1382" s="319"/>
    </row>
    <row r="1383" spans="3:6" ht="25.05" customHeight="1" x14ac:dyDescent="0.4">
      <c r="C1383" s="274"/>
      <c r="D1383" s="319"/>
      <c r="E1383" s="319"/>
      <c r="F1383" s="319"/>
    </row>
    <row r="1384" spans="3:6" ht="25.05" customHeight="1" x14ac:dyDescent="0.4">
      <c r="C1384" s="274"/>
      <c r="D1384" s="319"/>
      <c r="E1384" s="319"/>
      <c r="F1384" s="319"/>
    </row>
    <row r="1385" spans="3:6" ht="25.05" customHeight="1" x14ac:dyDescent="0.4">
      <c r="C1385" s="274"/>
      <c r="D1385" s="319"/>
      <c r="E1385" s="319"/>
      <c r="F1385" s="319"/>
    </row>
    <row r="1386" spans="3:6" ht="25.05" customHeight="1" x14ac:dyDescent="0.4">
      <c r="C1386" s="274"/>
      <c r="D1386" s="319"/>
      <c r="E1386" s="319"/>
      <c r="F1386" s="319"/>
    </row>
    <row r="1387" spans="3:6" ht="25.05" customHeight="1" x14ac:dyDescent="0.4">
      <c r="C1387" s="274"/>
      <c r="D1387" s="319"/>
      <c r="E1387" s="319"/>
      <c r="F1387" s="319"/>
    </row>
    <row r="1388" spans="3:6" ht="25.05" customHeight="1" x14ac:dyDescent="0.4">
      <c r="C1388" s="274"/>
      <c r="D1388" s="319"/>
      <c r="E1388" s="319"/>
      <c r="F1388" s="319"/>
    </row>
    <row r="1389" spans="3:6" ht="25.05" customHeight="1" x14ac:dyDescent="0.4">
      <c r="C1389" s="274"/>
      <c r="D1389" s="319"/>
      <c r="E1389" s="319"/>
      <c r="F1389" s="319"/>
    </row>
    <row r="1390" spans="3:6" ht="25.05" customHeight="1" x14ac:dyDescent="0.4">
      <c r="C1390" s="274"/>
      <c r="D1390" s="319"/>
      <c r="E1390" s="319"/>
      <c r="F1390" s="319"/>
    </row>
    <row r="1391" spans="3:6" ht="25.05" customHeight="1" x14ac:dyDescent="0.4">
      <c r="C1391" s="274"/>
      <c r="D1391" s="319"/>
      <c r="E1391" s="319"/>
      <c r="F1391" s="319"/>
    </row>
    <row r="1392" spans="3:6" ht="25.05" customHeight="1" x14ac:dyDescent="0.4">
      <c r="C1392" s="274"/>
      <c r="D1392" s="319"/>
      <c r="E1392" s="319"/>
      <c r="F1392" s="319"/>
    </row>
    <row r="1393" spans="3:6" ht="25.05" customHeight="1" x14ac:dyDescent="0.4">
      <c r="C1393" s="274"/>
      <c r="D1393" s="319"/>
      <c r="E1393" s="319"/>
      <c r="F1393" s="319"/>
    </row>
    <row r="1394" spans="3:6" ht="25.05" customHeight="1" x14ac:dyDescent="0.4">
      <c r="C1394" s="274"/>
      <c r="D1394" s="319"/>
      <c r="E1394" s="319"/>
      <c r="F1394" s="319"/>
    </row>
    <row r="1395" spans="3:6" ht="25.05" customHeight="1" x14ac:dyDescent="0.4">
      <c r="C1395" s="274"/>
      <c r="D1395" s="319"/>
      <c r="E1395" s="319"/>
      <c r="F1395" s="319"/>
    </row>
    <row r="1396" spans="3:6" ht="25.05" customHeight="1" x14ac:dyDescent="0.4">
      <c r="C1396" s="274"/>
      <c r="D1396" s="319"/>
      <c r="E1396" s="319"/>
      <c r="F1396" s="319"/>
    </row>
    <row r="1397" spans="3:6" ht="25.05" customHeight="1" x14ac:dyDescent="0.4">
      <c r="C1397" s="274"/>
      <c r="D1397" s="319"/>
      <c r="E1397" s="319"/>
      <c r="F1397" s="319"/>
    </row>
    <row r="1398" spans="3:6" ht="25.05" customHeight="1" x14ac:dyDescent="0.4">
      <c r="C1398" s="274"/>
      <c r="D1398" s="319"/>
      <c r="E1398" s="319"/>
      <c r="F1398" s="319"/>
    </row>
    <row r="1399" spans="3:6" ht="25.05" customHeight="1" x14ac:dyDescent="0.4">
      <c r="C1399" s="274"/>
      <c r="D1399" s="319"/>
      <c r="E1399" s="319"/>
      <c r="F1399" s="319"/>
    </row>
    <row r="1400" spans="3:6" ht="25.05" customHeight="1" x14ac:dyDescent="0.4">
      <c r="C1400" s="274"/>
      <c r="D1400" s="319"/>
      <c r="E1400" s="319"/>
      <c r="F1400" s="319"/>
    </row>
    <row r="1401" spans="3:6" ht="25.05" customHeight="1" x14ac:dyDescent="0.4">
      <c r="C1401" s="274"/>
      <c r="D1401" s="319"/>
      <c r="E1401" s="319"/>
      <c r="F1401" s="319"/>
    </row>
    <row r="1402" spans="3:6" ht="25.05" customHeight="1" x14ac:dyDescent="0.4">
      <c r="C1402" s="274"/>
      <c r="D1402" s="319"/>
      <c r="E1402" s="319"/>
      <c r="F1402" s="319"/>
    </row>
    <row r="1403" spans="3:6" ht="25.05" customHeight="1" x14ac:dyDescent="0.4">
      <c r="C1403" s="274"/>
      <c r="D1403" s="319"/>
      <c r="E1403" s="319"/>
      <c r="F1403" s="319"/>
    </row>
    <row r="1404" spans="3:6" ht="25.05" customHeight="1" x14ac:dyDescent="0.4">
      <c r="C1404" s="274"/>
      <c r="D1404" s="319"/>
      <c r="E1404" s="319"/>
      <c r="F1404" s="319"/>
    </row>
    <row r="1405" spans="3:6" ht="25.05" customHeight="1" x14ac:dyDescent="0.4">
      <c r="C1405" s="274"/>
      <c r="D1405" s="319"/>
      <c r="E1405" s="319"/>
      <c r="F1405" s="319"/>
    </row>
    <row r="1406" spans="3:6" ht="25.05" customHeight="1" x14ac:dyDescent="0.4">
      <c r="C1406" s="274"/>
      <c r="D1406" s="319"/>
      <c r="E1406" s="319"/>
      <c r="F1406" s="319"/>
    </row>
    <row r="1407" spans="3:6" ht="25.05" customHeight="1" x14ac:dyDescent="0.4">
      <c r="C1407" s="274"/>
      <c r="D1407" s="319"/>
      <c r="E1407" s="319"/>
      <c r="F1407" s="319"/>
    </row>
    <row r="1408" spans="3:6" ht="25.05" customHeight="1" x14ac:dyDescent="0.4">
      <c r="C1408" s="274"/>
      <c r="D1408" s="319"/>
      <c r="E1408" s="319"/>
      <c r="F1408" s="319"/>
    </row>
    <row r="1409" spans="3:6" ht="25.05" customHeight="1" x14ac:dyDescent="0.4">
      <c r="C1409" s="274"/>
      <c r="D1409" s="319"/>
      <c r="E1409" s="319"/>
      <c r="F1409" s="319"/>
    </row>
    <row r="1410" spans="3:6" ht="25.05" customHeight="1" x14ac:dyDescent="0.4">
      <c r="C1410" s="274"/>
      <c r="D1410" s="319"/>
      <c r="E1410" s="319"/>
      <c r="F1410" s="319"/>
    </row>
    <row r="1411" spans="3:6" ht="25.05" customHeight="1" x14ac:dyDescent="0.4">
      <c r="C1411" s="274"/>
      <c r="D1411" s="319"/>
      <c r="E1411" s="319"/>
      <c r="F1411" s="319"/>
    </row>
    <row r="1412" spans="3:6" ht="25.05" customHeight="1" x14ac:dyDescent="0.4">
      <c r="C1412" s="274"/>
      <c r="D1412" s="319"/>
      <c r="E1412" s="319"/>
      <c r="F1412" s="319"/>
    </row>
    <row r="1413" spans="3:6" ht="25.05" customHeight="1" x14ac:dyDescent="0.4">
      <c r="C1413" s="274"/>
      <c r="D1413" s="319"/>
      <c r="E1413" s="319"/>
      <c r="F1413" s="319"/>
    </row>
    <row r="1414" spans="3:6" ht="25.05" customHeight="1" x14ac:dyDescent="0.4">
      <c r="C1414" s="274"/>
      <c r="D1414" s="319"/>
      <c r="E1414" s="319"/>
      <c r="F1414" s="319"/>
    </row>
    <row r="1415" spans="3:6" ht="25.05" customHeight="1" x14ac:dyDescent="0.4">
      <c r="C1415" s="274"/>
      <c r="D1415" s="319"/>
      <c r="E1415" s="319"/>
      <c r="F1415" s="319"/>
    </row>
    <row r="1416" spans="3:6" ht="25.05" customHeight="1" x14ac:dyDescent="0.4">
      <c r="C1416" s="274"/>
      <c r="D1416" s="319"/>
      <c r="E1416" s="319"/>
      <c r="F1416" s="319"/>
    </row>
    <row r="1417" spans="3:6" ht="25.05" customHeight="1" x14ac:dyDescent="0.4">
      <c r="C1417" s="274"/>
      <c r="D1417" s="319"/>
      <c r="E1417" s="319"/>
      <c r="F1417" s="319"/>
    </row>
    <row r="1418" spans="3:6" ht="25.05" customHeight="1" x14ac:dyDescent="0.4">
      <c r="C1418" s="274"/>
      <c r="D1418" s="319"/>
      <c r="E1418" s="319"/>
      <c r="F1418" s="319"/>
    </row>
    <row r="1419" spans="3:6" ht="25.05" customHeight="1" x14ac:dyDescent="0.4">
      <c r="C1419" s="274"/>
      <c r="D1419" s="319"/>
      <c r="E1419" s="319"/>
      <c r="F1419" s="319"/>
    </row>
    <row r="1420" spans="3:6" ht="25.05" customHeight="1" x14ac:dyDescent="0.4">
      <c r="C1420" s="274"/>
      <c r="D1420" s="319"/>
      <c r="E1420" s="319"/>
      <c r="F1420" s="319"/>
    </row>
    <row r="1421" spans="3:6" ht="25.05" customHeight="1" x14ac:dyDescent="0.4">
      <c r="C1421" s="274"/>
      <c r="D1421" s="319"/>
      <c r="E1421" s="319"/>
      <c r="F1421" s="319"/>
    </row>
    <row r="1422" spans="3:6" ht="25.05" customHeight="1" x14ac:dyDescent="0.4">
      <c r="C1422" s="274"/>
      <c r="D1422" s="319"/>
      <c r="E1422" s="319"/>
      <c r="F1422" s="319"/>
    </row>
    <row r="1423" spans="3:6" ht="25.05" customHeight="1" x14ac:dyDescent="0.4">
      <c r="C1423" s="274"/>
      <c r="D1423" s="319"/>
      <c r="E1423" s="319"/>
      <c r="F1423" s="319"/>
    </row>
    <row r="1424" spans="3:6" ht="25.05" customHeight="1" x14ac:dyDescent="0.4">
      <c r="C1424" s="274"/>
      <c r="D1424" s="319"/>
      <c r="E1424" s="319"/>
      <c r="F1424" s="319"/>
    </row>
    <row r="1425" spans="3:6" ht="25.05" customHeight="1" x14ac:dyDescent="0.4">
      <c r="C1425" s="274"/>
      <c r="D1425" s="319"/>
      <c r="E1425" s="319"/>
      <c r="F1425" s="319"/>
    </row>
    <row r="1426" spans="3:6" ht="25.05" customHeight="1" x14ac:dyDescent="0.4">
      <c r="C1426" s="274"/>
      <c r="D1426" s="319"/>
      <c r="E1426" s="319"/>
      <c r="F1426" s="319"/>
    </row>
    <row r="1427" spans="3:6" ht="25.05" customHeight="1" x14ac:dyDescent="0.4">
      <c r="C1427" s="274"/>
      <c r="D1427" s="319"/>
      <c r="E1427" s="319"/>
      <c r="F1427" s="319"/>
    </row>
    <row r="1428" spans="3:6" ht="25.05" customHeight="1" x14ac:dyDescent="0.4">
      <c r="C1428" s="274"/>
      <c r="D1428" s="319"/>
      <c r="E1428" s="319"/>
      <c r="F1428" s="319"/>
    </row>
    <row r="1429" spans="3:6" ht="25.05" customHeight="1" x14ac:dyDescent="0.4">
      <c r="C1429" s="274"/>
      <c r="D1429" s="319"/>
      <c r="E1429" s="319"/>
      <c r="F1429" s="319"/>
    </row>
    <row r="1430" spans="3:6" ht="25.05" customHeight="1" x14ac:dyDescent="0.4">
      <c r="C1430" s="274"/>
      <c r="D1430" s="319"/>
      <c r="E1430" s="319"/>
      <c r="F1430" s="319"/>
    </row>
    <row r="1431" spans="3:6" ht="25.05" customHeight="1" x14ac:dyDescent="0.4">
      <c r="C1431" s="274"/>
      <c r="D1431" s="319"/>
      <c r="E1431" s="319"/>
      <c r="F1431" s="319"/>
    </row>
    <row r="1432" spans="3:6" ht="25.05" customHeight="1" x14ac:dyDescent="0.4">
      <c r="C1432" s="274"/>
      <c r="D1432" s="319"/>
      <c r="E1432" s="319"/>
      <c r="F1432" s="319"/>
    </row>
    <row r="1433" spans="3:6" ht="25.05" customHeight="1" x14ac:dyDescent="0.4">
      <c r="C1433" s="274"/>
      <c r="D1433" s="319"/>
      <c r="E1433" s="319"/>
      <c r="F1433" s="319"/>
    </row>
    <row r="1434" spans="3:6" ht="25.05" customHeight="1" x14ac:dyDescent="0.4">
      <c r="C1434" s="274"/>
      <c r="D1434" s="319"/>
      <c r="E1434" s="319"/>
      <c r="F1434" s="319"/>
    </row>
    <row r="1435" spans="3:6" ht="25.05" customHeight="1" x14ac:dyDescent="0.4">
      <c r="C1435" s="274"/>
      <c r="D1435" s="319"/>
      <c r="E1435" s="319"/>
      <c r="F1435" s="319"/>
    </row>
    <row r="1436" spans="3:6" ht="25.05" customHeight="1" x14ac:dyDescent="0.4">
      <c r="C1436" s="274"/>
      <c r="D1436" s="319"/>
      <c r="E1436" s="319"/>
      <c r="F1436" s="319"/>
    </row>
    <row r="1437" spans="3:6" ht="25.05" customHeight="1" x14ac:dyDescent="0.4">
      <c r="C1437" s="274"/>
      <c r="D1437" s="319"/>
      <c r="E1437" s="319"/>
      <c r="F1437" s="319"/>
    </row>
    <row r="1438" spans="3:6" ht="25.05" customHeight="1" x14ac:dyDescent="0.4">
      <c r="C1438" s="274"/>
      <c r="D1438" s="319"/>
      <c r="E1438" s="319"/>
      <c r="F1438" s="319"/>
    </row>
    <row r="1439" spans="3:6" ht="25.05" customHeight="1" x14ac:dyDescent="0.4">
      <c r="C1439" s="274"/>
      <c r="D1439" s="319"/>
      <c r="E1439" s="319"/>
      <c r="F1439" s="319"/>
    </row>
    <row r="1440" spans="3:6" ht="25.05" customHeight="1" x14ac:dyDescent="0.4">
      <c r="C1440" s="274"/>
      <c r="D1440" s="319"/>
      <c r="E1440" s="319"/>
      <c r="F1440" s="319"/>
    </row>
    <row r="1441" spans="3:6" ht="25.05" customHeight="1" x14ac:dyDescent="0.4">
      <c r="C1441" s="274"/>
      <c r="D1441" s="319"/>
      <c r="E1441" s="319"/>
      <c r="F1441" s="319"/>
    </row>
    <row r="1442" spans="3:6" ht="25.05" customHeight="1" x14ac:dyDescent="0.4">
      <c r="C1442" s="274"/>
      <c r="D1442" s="319"/>
      <c r="E1442" s="319"/>
      <c r="F1442" s="319"/>
    </row>
    <row r="1443" spans="3:6" ht="25.05" customHeight="1" x14ac:dyDescent="0.4">
      <c r="C1443" s="274"/>
      <c r="D1443" s="319"/>
      <c r="E1443" s="319"/>
      <c r="F1443" s="319"/>
    </row>
    <row r="1444" spans="3:6" ht="25.05" customHeight="1" x14ac:dyDescent="0.4">
      <c r="C1444" s="274"/>
      <c r="D1444" s="319"/>
      <c r="E1444" s="319"/>
      <c r="F1444" s="319"/>
    </row>
    <row r="1445" spans="3:6" ht="25.05" customHeight="1" x14ac:dyDescent="0.4">
      <c r="C1445" s="274"/>
      <c r="D1445" s="319"/>
      <c r="E1445" s="319"/>
      <c r="F1445" s="319"/>
    </row>
    <row r="1446" spans="3:6" ht="25.05" customHeight="1" x14ac:dyDescent="0.4">
      <c r="C1446" s="274"/>
      <c r="D1446" s="319"/>
      <c r="E1446" s="319"/>
      <c r="F1446" s="319"/>
    </row>
    <row r="1447" spans="3:6" ht="25.05" customHeight="1" x14ac:dyDescent="0.4">
      <c r="C1447" s="274"/>
      <c r="D1447" s="319"/>
      <c r="E1447" s="319"/>
      <c r="F1447" s="319"/>
    </row>
    <row r="1448" spans="3:6" ht="25.05" customHeight="1" x14ac:dyDescent="0.4">
      <c r="C1448" s="274"/>
      <c r="D1448" s="319"/>
      <c r="E1448" s="319"/>
      <c r="F1448" s="319"/>
    </row>
    <row r="1449" spans="3:6" ht="25.05" customHeight="1" x14ac:dyDescent="0.4">
      <c r="C1449" s="274"/>
      <c r="D1449" s="319"/>
      <c r="E1449" s="319"/>
      <c r="F1449" s="319"/>
    </row>
    <row r="1450" spans="3:6" ht="25.05" customHeight="1" x14ac:dyDescent="0.4">
      <c r="C1450" s="274"/>
      <c r="D1450" s="319"/>
      <c r="E1450" s="319"/>
      <c r="F1450" s="319"/>
    </row>
    <row r="1451" spans="3:6" ht="25.05" customHeight="1" x14ac:dyDescent="0.4">
      <c r="C1451" s="274"/>
      <c r="D1451" s="319"/>
      <c r="E1451" s="319"/>
      <c r="F1451" s="319"/>
    </row>
    <row r="1452" spans="3:6" ht="25.05" customHeight="1" x14ac:dyDescent="0.4">
      <c r="C1452" s="274"/>
      <c r="D1452" s="319"/>
      <c r="E1452" s="319"/>
      <c r="F1452" s="319"/>
    </row>
    <row r="1453" spans="3:6" ht="25.05" customHeight="1" x14ac:dyDescent="0.4">
      <c r="C1453" s="274"/>
      <c r="D1453" s="319"/>
      <c r="E1453" s="319"/>
      <c r="F1453" s="319"/>
    </row>
    <row r="1454" spans="3:6" ht="25.05" customHeight="1" x14ac:dyDescent="0.4">
      <c r="C1454" s="274"/>
      <c r="D1454" s="319"/>
      <c r="E1454" s="319"/>
      <c r="F1454" s="319"/>
    </row>
    <row r="1455" spans="3:6" ht="25.05" customHeight="1" x14ac:dyDescent="0.4">
      <c r="C1455" s="274"/>
      <c r="D1455" s="319"/>
      <c r="E1455" s="319"/>
      <c r="F1455" s="319"/>
    </row>
    <row r="1456" spans="3:6" ht="25.05" customHeight="1" x14ac:dyDescent="0.4">
      <c r="C1456" s="274"/>
      <c r="D1456" s="319"/>
      <c r="E1456" s="319"/>
      <c r="F1456" s="319"/>
    </row>
    <row r="1457" spans="3:6" ht="25.05" customHeight="1" x14ac:dyDescent="0.4">
      <c r="C1457" s="274"/>
      <c r="D1457" s="319"/>
      <c r="E1457" s="319"/>
      <c r="F1457" s="319"/>
    </row>
    <row r="1458" spans="3:6" ht="25.05" customHeight="1" x14ac:dyDescent="0.4">
      <c r="C1458" s="274"/>
      <c r="D1458" s="319"/>
      <c r="E1458" s="319"/>
      <c r="F1458" s="319"/>
    </row>
    <row r="1459" spans="3:6" ht="25.05" customHeight="1" x14ac:dyDescent="0.4">
      <c r="C1459" s="274"/>
      <c r="D1459" s="319"/>
      <c r="E1459" s="319"/>
      <c r="F1459" s="319"/>
    </row>
    <row r="1460" spans="3:6" ht="25.05" customHeight="1" x14ac:dyDescent="0.4">
      <c r="C1460" s="274"/>
      <c r="D1460" s="319"/>
      <c r="E1460" s="319"/>
      <c r="F1460" s="319"/>
    </row>
    <row r="1461" spans="3:6" ht="25.05" customHeight="1" x14ac:dyDescent="0.4">
      <c r="C1461" s="274"/>
      <c r="D1461" s="319"/>
      <c r="E1461" s="319"/>
      <c r="F1461" s="319"/>
    </row>
    <row r="1462" spans="3:6" ht="25.05" customHeight="1" x14ac:dyDescent="0.4">
      <c r="C1462" s="274"/>
      <c r="D1462" s="319"/>
      <c r="E1462" s="319"/>
      <c r="F1462" s="319"/>
    </row>
    <row r="1463" spans="3:6" ht="25.05" customHeight="1" x14ac:dyDescent="0.4">
      <c r="C1463" s="274"/>
      <c r="D1463" s="319"/>
      <c r="E1463" s="319"/>
      <c r="F1463" s="319"/>
    </row>
    <row r="1464" spans="3:6" ht="25.05" customHeight="1" x14ac:dyDescent="0.4">
      <c r="C1464" s="274"/>
      <c r="D1464" s="319"/>
      <c r="E1464" s="319"/>
      <c r="F1464" s="319"/>
    </row>
    <row r="1465" spans="3:6" ht="25.05" customHeight="1" x14ac:dyDescent="0.4">
      <c r="C1465" s="274"/>
      <c r="D1465" s="319"/>
      <c r="E1465" s="319"/>
      <c r="F1465" s="319"/>
    </row>
    <row r="1466" spans="3:6" ht="25.05" customHeight="1" x14ac:dyDescent="0.4">
      <c r="C1466" s="274"/>
      <c r="D1466" s="319"/>
      <c r="E1466" s="319"/>
      <c r="F1466" s="319"/>
    </row>
    <row r="1467" spans="3:6" ht="25.05" customHeight="1" x14ac:dyDescent="0.4">
      <c r="C1467" s="274"/>
      <c r="D1467" s="319"/>
      <c r="E1467" s="319"/>
      <c r="F1467" s="319"/>
    </row>
    <row r="1468" spans="3:6" ht="25.05" customHeight="1" x14ac:dyDescent="0.4">
      <c r="C1468" s="274"/>
      <c r="D1468" s="319"/>
      <c r="E1468" s="319"/>
      <c r="F1468" s="319"/>
    </row>
    <row r="1469" spans="3:6" ht="25.05" customHeight="1" x14ac:dyDescent="0.4">
      <c r="C1469" s="274"/>
      <c r="D1469" s="319"/>
      <c r="E1469" s="319"/>
      <c r="F1469" s="319"/>
    </row>
    <row r="1470" spans="3:6" ht="25.05" customHeight="1" x14ac:dyDescent="0.4">
      <c r="C1470" s="274"/>
      <c r="D1470" s="319"/>
      <c r="E1470" s="319"/>
      <c r="F1470" s="319"/>
    </row>
    <row r="1471" spans="3:6" ht="25.05" customHeight="1" x14ac:dyDescent="0.4">
      <c r="C1471" s="274"/>
      <c r="D1471" s="319"/>
      <c r="E1471" s="319"/>
      <c r="F1471" s="319"/>
    </row>
    <row r="1472" spans="3:6" ht="25.05" customHeight="1" x14ac:dyDescent="0.4">
      <c r="C1472" s="274"/>
      <c r="D1472" s="319"/>
      <c r="E1472" s="319"/>
      <c r="F1472" s="319"/>
    </row>
    <row r="1473" spans="3:6" ht="25.05" customHeight="1" x14ac:dyDescent="0.4">
      <c r="C1473" s="274"/>
      <c r="D1473" s="319"/>
      <c r="E1473" s="319"/>
      <c r="F1473" s="319"/>
    </row>
    <row r="1474" spans="3:6" ht="25.05" customHeight="1" x14ac:dyDescent="0.4">
      <c r="C1474" s="274"/>
      <c r="D1474" s="319"/>
      <c r="E1474" s="319"/>
      <c r="F1474" s="319"/>
    </row>
    <row r="1475" spans="3:6" ht="25.05" customHeight="1" x14ac:dyDescent="0.4">
      <c r="C1475" s="274"/>
      <c r="D1475" s="319"/>
      <c r="E1475" s="319"/>
      <c r="F1475" s="319"/>
    </row>
    <row r="1476" spans="3:6" ht="25.05" customHeight="1" x14ac:dyDescent="0.4">
      <c r="C1476" s="274"/>
      <c r="D1476" s="319"/>
      <c r="E1476" s="319"/>
      <c r="F1476" s="319"/>
    </row>
    <row r="1477" spans="3:6" ht="25.05" customHeight="1" x14ac:dyDescent="0.4">
      <c r="C1477" s="274"/>
      <c r="D1477" s="319"/>
      <c r="E1477" s="319"/>
      <c r="F1477" s="319"/>
    </row>
    <row r="1478" spans="3:6" ht="25.05" customHeight="1" x14ac:dyDescent="0.4">
      <c r="C1478" s="274"/>
      <c r="D1478" s="319"/>
      <c r="E1478" s="319"/>
      <c r="F1478" s="319"/>
    </row>
    <row r="1479" spans="3:6" ht="25.05" customHeight="1" x14ac:dyDescent="0.4">
      <c r="C1479" s="274"/>
      <c r="D1479" s="319"/>
      <c r="E1479" s="319"/>
      <c r="F1479" s="319"/>
    </row>
    <row r="1480" spans="3:6" ht="25.05" customHeight="1" x14ac:dyDescent="0.4">
      <c r="C1480" s="274"/>
      <c r="D1480" s="319"/>
      <c r="E1480" s="319"/>
      <c r="F1480" s="319"/>
    </row>
    <row r="1481" spans="3:6" ht="25.05" customHeight="1" x14ac:dyDescent="0.4">
      <c r="C1481" s="274"/>
      <c r="D1481" s="319"/>
      <c r="E1481" s="319"/>
      <c r="F1481" s="319"/>
    </row>
    <row r="1482" spans="3:6" ht="25.05" customHeight="1" x14ac:dyDescent="0.4">
      <c r="C1482" s="274"/>
      <c r="D1482" s="319"/>
      <c r="E1482" s="319"/>
      <c r="F1482" s="319"/>
    </row>
    <row r="1483" spans="3:6" ht="25.05" customHeight="1" x14ac:dyDescent="0.4">
      <c r="C1483" s="274"/>
      <c r="D1483" s="319"/>
      <c r="E1483" s="319"/>
      <c r="F1483" s="319"/>
    </row>
    <row r="1484" spans="3:6" ht="25.05" customHeight="1" x14ac:dyDescent="0.4">
      <c r="C1484" s="274"/>
      <c r="D1484" s="319"/>
      <c r="E1484" s="319"/>
      <c r="F1484" s="319"/>
    </row>
    <row r="1485" spans="3:6" ht="25.05" customHeight="1" x14ac:dyDescent="0.4">
      <c r="C1485" s="274"/>
      <c r="D1485" s="319"/>
      <c r="E1485" s="319"/>
      <c r="F1485" s="319"/>
    </row>
    <row r="1486" spans="3:6" ht="25.05" customHeight="1" x14ac:dyDescent="0.4">
      <c r="C1486" s="274"/>
      <c r="D1486" s="319"/>
      <c r="E1486" s="319"/>
      <c r="F1486" s="319"/>
    </row>
    <row r="1487" spans="3:6" ht="25.05" customHeight="1" x14ac:dyDescent="0.4">
      <c r="C1487" s="274"/>
      <c r="D1487" s="319"/>
      <c r="E1487" s="319"/>
      <c r="F1487" s="319"/>
    </row>
    <row r="1488" spans="3:6" ht="25.05" customHeight="1" x14ac:dyDescent="0.4">
      <c r="C1488" s="274"/>
      <c r="D1488" s="319"/>
      <c r="E1488" s="319"/>
      <c r="F1488" s="319"/>
    </row>
    <row r="1489" spans="3:6" ht="25.05" customHeight="1" x14ac:dyDescent="0.4">
      <c r="C1489" s="274"/>
      <c r="D1489" s="319"/>
      <c r="E1489" s="319"/>
      <c r="F1489" s="319"/>
    </row>
    <row r="1490" spans="3:6" ht="25.05" customHeight="1" x14ac:dyDescent="0.4">
      <c r="C1490" s="274"/>
      <c r="D1490" s="319"/>
      <c r="E1490" s="319"/>
      <c r="F1490" s="319"/>
    </row>
    <row r="1491" spans="3:6" ht="25.05" customHeight="1" x14ac:dyDescent="0.4">
      <c r="C1491" s="274"/>
      <c r="D1491" s="319"/>
      <c r="E1491" s="319"/>
      <c r="F1491" s="319"/>
    </row>
    <row r="1492" spans="3:6" ht="25.05" customHeight="1" x14ac:dyDescent="0.4">
      <c r="C1492" s="274"/>
      <c r="D1492" s="319"/>
      <c r="E1492" s="319"/>
      <c r="F1492" s="319"/>
    </row>
    <row r="1493" spans="3:6" ht="25.05" customHeight="1" x14ac:dyDescent="0.4">
      <c r="C1493" s="274"/>
      <c r="D1493" s="319"/>
      <c r="E1493" s="319"/>
      <c r="F1493" s="319"/>
    </row>
    <row r="1494" spans="3:6" ht="25.05" customHeight="1" x14ac:dyDescent="0.4">
      <c r="C1494" s="274"/>
      <c r="D1494" s="319"/>
      <c r="E1494" s="319"/>
      <c r="F1494" s="319"/>
    </row>
    <row r="1495" spans="3:6" ht="25.05" customHeight="1" x14ac:dyDescent="0.4">
      <c r="C1495" s="274"/>
      <c r="D1495" s="319"/>
      <c r="E1495" s="319"/>
      <c r="F1495" s="319"/>
    </row>
    <row r="1496" spans="3:6" ht="25.05" customHeight="1" x14ac:dyDescent="0.4">
      <c r="C1496" s="274"/>
      <c r="D1496" s="319"/>
      <c r="E1496" s="319"/>
      <c r="F1496" s="319"/>
    </row>
    <row r="1497" spans="3:6" ht="25.05" customHeight="1" x14ac:dyDescent="0.4">
      <c r="C1497" s="274"/>
      <c r="D1497" s="319"/>
      <c r="E1497" s="319"/>
      <c r="F1497" s="319"/>
    </row>
    <row r="1498" spans="3:6" ht="25.05" customHeight="1" x14ac:dyDescent="0.4">
      <c r="C1498" s="274"/>
      <c r="D1498" s="319"/>
      <c r="E1498" s="319"/>
      <c r="F1498" s="319"/>
    </row>
    <row r="1499" spans="3:6" ht="25.05" customHeight="1" x14ac:dyDescent="0.4">
      <c r="C1499" s="274"/>
      <c r="D1499" s="319"/>
      <c r="E1499" s="319"/>
      <c r="F1499" s="319"/>
    </row>
    <row r="1500" spans="3:6" ht="25.05" customHeight="1" x14ac:dyDescent="0.4">
      <c r="C1500" s="274"/>
      <c r="D1500" s="319"/>
      <c r="E1500" s="319"/>
      <c r="F1500" s="319"/>
    </row>
    <row r="1501" spans="3:6" ht="25.05" customHeight="1" x14ac:dyDescent="0.4">
      <c r="C1501" s="274"/>
      <c r="D1501" s="319"/>
      <c r="E1501" s="319"/>
      <c r="F1501" s="319"/>
    </row>
    <row r="1502" spans="3:6" ht="25.05" customHeight="1" x14ac:dyDescent="0.4">
      <c r="C1502" s="274"/>
      <c r="D1502" s="319"/>
      <c r="E1502" s="319"/>
      <c r="F1502" s="319"/>
    </row>
    <row r="1503" spans="3:6" ht="25.05" customHeight="1" x14ac:dyDescent="0.4">
      <c r="C1503" s="274"/>
      <c r="D1503" s="319"/>
      <c r="E1503" s="319"/>
      <c r="F1503" s="319"/>
    </row>
    <row r="1504" spans="3:6" ht="25.05" customHeight="1" x14ac:dyDescent="0.4">
      <c r="C1504" s="274"/>
      <c r="D1504" s="319"/>
      <c r="E1504" s="319"/>
      <c r="F1504" s="319"/>
    </row>
    <row r="1505" spans="3:6" ht="25.05" customHeight="1" x14ac:dyDescent="0.4">
      <c r="C1505" s="274"/>
      <c r="D1505" s="319"/>
      <c r="E1505" s="319"/>
      <c r="F1505" s="319"/>
    </row>
    <row r="1506" spans="3:6" ht="25.05" customHeight="1" x14ac:dyDescent="0.4">
      <c r="C1506" s="274"/>
      <c r="D1506" s="319"/>
      <c r="E1506" s="319"/>
      <c r="F1506" s="319"/>
    </row>
    <row r="1507" spans="3:6" ht="25.05" customHeight="1" x14ac:dyDescent="0.4">
      <c r="C1507" s="274"/>
      <c r="D1507" s="319"/>
      <c r="E1507" s="319"/>
      <c r="F1507" s="319"/>
    </row>
    <row r="1508" spans="3:6" ht="25.05" customHeight="1" x14ac:dyDescent="0.4">
      <c r="C1508" s="274"/>
      <c r="D1508" s="319"/>
      <c r="E1508" s="319"/>
      <c r="F1508" s="319"/>
    </row>
    <row r="1509" spans="3:6" ht="25.05" customHeight="1" x14ac:dyDescent="0.4">
      <c r="C1509" s="274"/>
      <c r="D1509" s="319"/>
      <c r="E1509" s="319"/>
      <c r="F1509" s="319"/>
    </row>
    <row r="1510" spans="3:6" ht="25.05" customHeight="1" x14ac:dyDescent="0.4">
      <c r="C1510" s="274"/>
      <c r="D1510" s="319"/>
      <c r="E1510" s="319"/>
      <c r="F1510" s="319"/>
    </row>
    <row r="1511" spans="3:6" ht="25.05" customHeight="1" x14ac:dyDescent="0.4">
      <c r="C1511" s="274"/>
      <c r="D1511" s="319"/>
      <c r="E1511" s="319"/>
      <c r="F1511" s="319"/>
    </row>
    <row r="1512" spans="3:6" ht="25.05" customHeight="1" x14ac:dyDescent="0.4">
      <c r="C1512" s="274"/>
      <c r="D1512" s="319"/>
      <c r="E1512" s="319"/>
      <c r="F1512" s="319"/>
    </row>
    <row r="1513" spans="3:6" ht="25.05" customHeight="1" x14ac:dyDescent="0.4">
      <c r="C1513" s="274"/>
      <c r="D1513" s="319"/>
      <c r="E1513" s="319"/>
      <c r="F1513" s="319"/>
    </row>
    <row r="1514" spans="3:6" ht="25.05" customHeight="1" x14ac:dyDescent="0.4">
      <c r="C1514" s="274"/>
      <c r="D1514" s="319"/>
      <c r="E1514" s="319"/>
      <c r="F1514" s="319"/>
    </row>
    <row r="1515" spans="3:6" ht="25.05" customHeight="1" x14ac:dyDescent="0.4">
      <c r="C1515" s="274"/>
      <c r="D1515" s="319"/>
      <c r="E1515" s="319"/>
      <c r="F1515" s="319"/>
    </row>
    <row r="1516" spans="3:6" ht="25.05" customHeight="1" x14ac:dyDescent="0.4">
      <c r="C1516" s="274"/>
      <c r="D1516" s="319"/>
      <c r="E1516" s="319"/>
      <c r="F1516" s="319"/>
    </row>
    <row r="1517" spans="3:6" ht="25.05" customHeight="1" x14ac:dyDescent="0.4">
      <c r="C1517" s="274"/>
      <c r="D1517" s="319"/>
      <c r="E1517" s="319"/>
      <c r="F1517" s="319"/>
    </row>
    <row r="1518" spans="3:6" ht="25.05" customHeight="1" x14ac:dyDescent="0.4">
      <c r="C1518" s="274"/>
      <c r="D1518" s="319"/>
      <c r="E1518" s="319"/>
      <c r="F1518" s="319"/>
    </row>
    <row r="1519" spans="3:6" ht="25.05" customHeight="1" x14ac:dyDescent="0.4">
      <c r="C1519" s="274"/>
      <c r="D1519" s="319"/>
      <c r="E1519" s="319"/>
      <c r="F1519" s="319"/>
    </row>
    <row r="1520" spans="3:6" ht="25.05" customHeight="1" x14ac:dyDescent="0.4">
      <c r="C1520" s="274"/>
      <c r="D1520" s="319"/>
      <c r="E1520" s="319"/>
      <c r="F1520" s="319"/>
    </row>
    <row r="1521" spans="3:6" ht="25.05" customHeight="1" x14ac:dyDescent="0.4">
      <c r="C1521" s="274"/>
      <c r="D1521" s="319"/>
      <c r="E1521" s="319"/>
      <c r="F1521" s="319"/>
    </row>
    <row r="1522" spans="3:6" ht="25.05" customHeight="1" x14ac:dyDescent="0.4">
      <c r="C1522" s="274"/>
      <c r="D1522" s="319"/>
      <c r="E1522" s="319"/>
      <c r="F1522" s="319"/>
    </row>
    <row r="1523" spans="3:6" ht="25.05" customHeight="1" x14ac:dyDescent="0.4">
      <c r="C1523" s="274"/>
      <c r="D1523" s="319"/>
      <c r="E1523" s="319"/>
      <c r="F1523" s="319"/>
    </row>
    <row r="1524" spans="3:6" ht="25.05" customHeight="1" x14ac:dyDescent="0.4">
      <c r="C1524" s="274"/>
      <c r="D1524" s="319"/>
      <c r="E1524" s="319"/>
      <c r="F1524" s="319"/>
    </row>
    <row r="1525" spans="3:6" ht="25.05" customHeight="1" x14ac:dyDescent="0.4">
      <c r="C1525" s="274"/>
      <c r="D1525" s="319"/>
      <c r="E1525" s="319"/>
      <c r="F1525" s="319"/>
    </row>
    <row r="1526" spans="3:6" ht="25.05" customHeight="1" x14ac:dyDescent="0.4">
      <c r="C1526" s="274"/>
      <c r="D1526" s="319"/>
      <c r="E1526" s="319"/>
      <c r="F1526" s="319"/>
    </row>
    <row r="1527" spans="3:6" ht="25.05" customHeight="1" x14ac:dyDescent="0.4">
      <c r="C1527" s="274"/>
      <c r="D1527" s="319"/>
      <c r="E1527" s="319"/>
      <c r="F1527" s="319"/>
    </row>
    <row r="1528" spans="3:6" ht="25.05" customHeight="1" x14ac:dyDescent="0.4">
      <c r="C1528" s="274"/>
      <c r="D1528" s="319"/>
      <c r="E1528" s="319"/>
      <c r="F1528" s="319"/>
    </row>
    <row r="1529" spans="3:6" ht="25.05" customHeight="1" x14ac:dyDescent="0.4">
      <c r="C1529" s="274"/>
      <c r="D1529" s="319"/>
      <c r="E1529" s="319"/>
      <c r="F1529" s="319"/>
    </row>
    <row r="1530" spans="3:6" ht="25.05" customHeight="1" x14ac:dyDescent="0.4">
      <c r="C1530" s="274"/>
      <c r="D1530" s="319"/>
      <c r="E1530" s="319"/>
      <c r="F1530" s="319"/>
    </row>
    <row r="1531" spans="3:6" ht="25.05" customHeight="1" x14ac:dyDescent="0.4">
      <c r="C1531" s="274"/>
      <c r="D1531" s="319"/>
      <c r="E1531" s="319"/>
      <c r="F1531" s="319"/>
    </row>
    <row r="1532" spans="3:6" ht="25.05" customHeight="1" x14ac:dyDescent="0.4">
      <c r="C1532" s="274"/>
      <c r="D1532" s="319"/>
      <c r="E1532" s="319"/>
      <c r="F1532" s="319"/>
    </row>
    <row r="1533" spans="3:6" ht="25.05" customHeight="1" x14ac:dyDescent="0.4">
      <c r="C1533" s="274"/>
      <c r="D1533" s="319"/>
      <c r="E1533" s="319"/>
      <c r="F1533" s="319"/>
    </row>
    <row r="1534" spans="3:6" ht="25.05" customHeight="1" x14ac:dyDescent="0.4">
      <c r="C1534" s="274"/>
      <c r="D1534" s="319"/>
      <c r="E1534" s="319"/>
      <c r="F1534" s="319"/>
    </row>
    <row r="1535" spans="3:6" ht="25.05" customHeight="1" x14ac:dyDescent="0.4">
      <c r="C1535" s="274"/>
      <c r="D1535" s="319"/>
      <c r="E1535" s="319"/>
      <c r="F1535" s="319"/>
    </row>
    <row r="1536" spans="3:6" ht="25.05" customHeight="1" x14ac:dyDescent="0.4">
      <c r="C1536" s="274"/>
      <c r="D1536" s="319"/>
      <c r="E1536" s="319"/>
      <c r="F1536" s="319"/>
    </row>
    <row r="1537" spans="3:6" ht="25.05" customHeight="1" x14ac:dyDescent="0.4">
      <c r="C1537" s="274"/>
      <c r="D1537" s="319"/>
      <c r="E1537" s="319"/>
      <c r="F1537" s="319"/>
    </row>
    <row r="1538" spans="3:6" ht="25.05" customHeight="1" x14ac:dyDescent="0.4">
      <c r="C1538" s="274"/>
      <c r="D1538" s="319"/>
      <c r="E1538" s="319"/>
      <c r="F1538" s="319"/>
    </row>
    <row r="1539" spans="3:6" ht="25.05" customHeight="1" x14ac:dyDescent="0.4">
      <c r="C1539" s="274"/>
      <c r="D1539" s="319"/>
      <c r="E1539" s="319"/>
      <c r="F1539" s="319"/>
    </row>
    <row r="1540" spans="3:6" ht="25.05" customHeight="1" x14ac:dyDescent="0.4">
      <c r="C1540" s="274"/>
      <c r="D1540" s="319"/>
      <c r="E1540" s="319"/>
      <c r="F1540" s="319"/>
    </row>
    <row r="1541" spans="3:6" ht="25.05" customHeight="1" x14ac:dyDescent="0.4">
      <c r="C1541" s="274"/>
      <c r="D1541" s="319"/>
      <c r="E1541" s="319"/>
      <c r="F1541" s="319"/>
    </row>
    <row r="1542" spans="3:6" ht="25.05" customHeight="1" x14ac:dyDescent="0.4">
      <c r="C1542" s="274"/>
      <c r="D1542" s="319"/>
      <c r="E1542" s="319"/>
      <c r="F1542" s="319"/>
    </row>
    <row r="1543" spans="3:6" ht="25.05" customHeight="1" x14ac:dyDescent="0.4">
      <c r="C1543" s="274"/>
      <c r="D1543" s="319"/>
      <c r="E1543" s="319"/>
      <c r="F1543" s="319"/>
    </row>
    <row r="1544" spans="3:6" ht="25.05" customHeight="1" x14ac:dyDescent="0.4">
      <c r="C1544" s="274"/>
      <c r="D1544" s="319"/>
      <c r="E1544" s="319"/>
      <c r="F1544" s="319"/>
    </row>
    <row r="1545" spans="3:6" ht="25.05" customHeight="1" x14ac:dyDescent="0.4">
      <c r="C1545" s="274"/>
      <c r="D1545" s="319"/>
      <c r="E1545" s="319"/>
      <c r="F1545" s="319"/>
    </row>
    <row r="1546" spans="3:6" ht="25.05" customHeight="1" x14ac:dyDescent="0.4">
      <c r="C1546" s="274"/>
      <c r="D1546" s="319"/>
      <c r="E1546" s="319"/>
      <c r="F1546" s="319"/>
    </row>
    <row r="1547" spans="3:6" ht="25.05" customHeight="1" x14ac:dyDescent="0.4">
      <c r="C1547" s="274"/>
      <c r="D1547" s="319"/>
      <c r="E1547" s="319"/>
      <c r="F1547" s="319"/>
    </row>
    <row r="1548" spans="3:6" ht="25.05" customHeight="1" x14ac:dyDescent="0.4">
      <c r="C1548" s="274"/>
      <c r="D1548" s="319"/>
      <c r="E1548" s="319"/>
      <c r="F1548" s="319"/>
    </row>
    <row r="1549" spans="3:6" ht="25.05" customHeight="1" x14ac:dyDescent="0.4">
      <c r="C1549" s="274"/>
      <c r="D1549" s="319"/>
      <c r="E1549" s="319"/>
      <c r="F1549" s="319"/>
    </row>
    <row r="1550" spans="3:6" ht="25.05" customHeight="1" x14ac:dyDescent="0.4">
      <c r="C1550" s="274"/>
      <c r="D1550" s="319"/>
      <c r="E1550" s="319"/>
      <c r="F1550" s="319"/>
    </row>
    <row r="1551" spans="3:6" ht="25.05" customHeight="1" x14ac:dyDescent="0.4">
      <c r="C1551" s="274"/>
      <c r="D1551" s="319"/>
      <c r="E1551" s="319"/>
      <c r="F1551" s="319"/>
    </row>
    <row r="1552" spans="3:6" ht="25.05" customHeight="1" x14ac:dyDescent="0.4">
      <c r="C1552" s="274"/>
      <c r="D1552" s="319"/>
      <c r="E1552" s="319"/>
      <c r="F1552" s="319"/>
    </row>
    <row r="1553" spans="3:6" ht="25.05" customHeight="1" x14ac:dyDescent="0.4">
      <c r="C1553" s="274"/>
      <c r="D1553" s="319"/>
      <c r="E1553" s="319"/>
      <c r="F1553" s="319"/>
    </row>
    <row r="1554" spans="3:6" ht="25.05" customHeight="1" x14ac:dyDescent="0.4">
      <c r="C1554" s="274"/>
      <c r="D1554" s="319"/>
      <c r="E1554" s="319"/>
      <c r="F1554" s="319"/>
    </row>
    <row r="1555" spans="3:6" ht="25.05" customHeight="1" x14ac:dyDescent="0.4">
      <c r="C1555" s="274"/>
      <c r="D1555" s="319"/>
      <c r="E1555" s="319"/>
      <c r="F1555" s="319"/>
    </row>
    <row r="1556" spans="3:6" ht="25.05" customHeight="1" x14ac:dyDescent="0.4">
      <c r="C1556" s="274"/>
      <c r="D1556" s="319"/>
      <c r="E1556" s="319"/>
      <c r="F1556" s="319"/>
    </row>
    <row r="1557" spans="3:6" ht="25.05" customHeight="1" x14ac:dyDescent="0.4">
      <c r="C1557" s="274"/>
      <c r="D1557" s="319"/>
      <c r="E1557" s="319"/>
      <c r="F1557" s="319"/>
    </row>
    <row r="1558" spans="3:6" ht="25.05" customHeight="1" x14ac:dyDescent="0.4">
      <c r="C1558" s="274"/>
      <c r="D1558" s="319"/>
      <c r="E1558" s="319"/>
      <c r="F1558" s="319"/>
    </row>
    <row r="1559" spans="3:6" ht="25.05" customHeight="1" x14ac:dyDescent="0.4">
      <c r="C1559" s="274"/>
      <c r="D1559" s="319"/>
      <c r="E1559" s="319"/>
      <c r="F1559" s="319"/>
    </row>
    <row r="1560" spans="3:6" ht="25.05" customHeight="1" x14ac:dyDescent="0.4">
      <c r="C1560" s="274"/>
      <c r="D1560" s="319"/>
      <c r="E1560" s="319"/>
      <c r="F1560" s="319"/>
    </row>
    <row r="1561" spans="3:6" ht="25.05" customHeight="1" x14ac:dyDescent="0.4">
      <c r="C1561" s="274"/>
      <c r="D1561" s="319"/>
      <c r="E1561" s="319"/>
      <c r="F1561" s="319"/>
    </row>
    <row r="1562" spans="3:6" ht="25.05" customHeight="1" x14ac:dyDescent="0.4">
      <c r="C1562" s="274"/>
      <c r="D1562" s="319"/>
      <c r="E1562" s="319"/>
      <c r="F1562" s="319"/>
    </row>
    <row r="1563" spans="3:6" ht="25.05" customHeight="1" x14ac:dyDescent="0.4">
      <c r="C1563" s="274"/>
      <c r="D1563" s="319"/>
      <c r="E1563" s="319"/>
      <c r="F1563" s="319"/>
    </row>
    <row r="1564" spans="3:6" ht="25.05" customHeight="1" x14ac:dyDescent="0.4">
      <c r="C1564" s="274"/>
      <c r="D1564" s="319"/>
      <c r="E1564" s="319"/>
      <c r="F1564" s="319"/>
    </row>
    <row r="1565" spans="3:6" ht="25.05" customHeight="1" x14ac:dyDescent="0.4">
      <c r="C1565" s="274"/>
      <c r="D1565" s="319"/>
      <c r="E1565" s="319"/>
      <c r="F1565" s="319"/>
    </row>
    <row r="1566" spans="3:6" ht="25.05" customHeight="1" x14ac:dyDescent="0.4">
      <c r="C1566" s="274"/>
      <c r="D1566" s="319"/>
      <c r="E1566" s="319"/>
      <c r="F1566" s="319"/>
    </row>
    <row r="1567" spans="3:6" ht="25.05" customHeight="1" x14ac:dyDescent="0.4">
      <c r="C1567" s="274"/>
      <c r="D1567" s="319"/>
      <c r="E1567" s="319"/>
      <c r="F1567" s="319"/>
    </row>
    <row r="1568" spans="3:6" ht="25.05" customHeight="1" x14ac:dyDescent="0.4">
      <c r="C1568" s="274"/>
      <c r="D1568" s="319"/>
      <c r="E1568" s="319"/>
      <c r="F1568" s="319"/>
    </row>
    <row r="1569" spans="3:6" ht="25.05" customHeight="1" x14ac:dyDescent="0.4">
      <c r="C1569" s="274"/>
      <c r="D1569" s="319"/>
      <c r="E1569" s="319"/>
      <c r="F1569" s="319"/>
    </row>
    <row r="1570" spans="3:6" ht="25.05" customHeight="1" x14ac:dyDescent="0.4">
      <c r="C1570" s="274"/>
      <c r="D1570" s="319"/>
      <c r="E1570" s="319"/>
      <c r="F1570" s="319"/>
    </row>
    <row r="1571" spans="3:6" ht="25.05" customHeight="1" x14ac:dyDescent="0.4">
      <c r="C1571" s="274"/>
      <c r="D1571" s="319"/>
      <c r="E1571" s="319"/>
      <c r="F1571" s="319"/>
    </row>
    <row r="1572" spans="3:6" ht="25.05" customHeight="1" x14ac:dyDescent="0.4">
      <c r="C1572" s="274"/>
      <c r="D1572" s="319"/>
      <c r="E1572" s="319"/>
      <c r="F1572" s="319"/>
    </row>
    <row r="1573" spans="3:6" ht="25.05" customHeight="1" x14ac:dyDescent="0.4">
      <c r="C1573" s="274"/>
      <c r="D1573" s="319"/>
      <c r="E1573" s="319"/>
      <c r="F1573" s="319"/>
    </row>
    <row r="1574" spans="3:6" ht="25.05" customHeight="1" x14ac:dyDescent="0.4">
      <c r="C1574" s="274"/>
      <c r="D1574" s="319"/>
      <c r="E1574" s="319"/>
      <c r="F1574" s="319"/>
    </row>
    <row r="1575" spans="3:6" ht="25.05" customHeight="1" x14ac:dyDescent="0.4">
      <c r="C1575" s="274"/>
      <c r="D1575" s="319"/>
      <c r="E1575" s="319"/>
      <c r="F1575" s="319"/>
    </row>
    <row r="1576" spans="3:6" ht="25.05" customHeight="1" x14ac:dyDescent="0.4">
      <c r="C1576" s="274"/>
      <c r="D1576" s="319"/>
      <c r="E1576" s="319"/>
      <c r="F1576" s="319"/>
    </row>
    <row r="1577" spans="3:6" ht="25.05" customHeight="1" x14ac:dyDescent="0.4">
      <c r="C1577" s="274"/>
      <c r="D1577" s="319"/>
      <c r="E1577" s="319"/>
      <c r="F1577" s="319"/>
    </row>
    <row r="1578" spans="3:6" ht="25.05" customHeight="1" x14ac:dyDescent="0.4">
      <c r="C1578" s="274"/>
      <c r="D1578" s="319"/>
      <c r="E1578" s="319"/>
      <c r="F1578" s="319"/>
    </row>
    <row r="1579" spans="3:6" ht="25.05" customHeight="1" x14ac:dyDescent="0.4">
      <c r="C1579" s="274"/>
      <c r="D1579" s="319"/>
      <c r="E1579" s="319"/>
      <c r="F1579" s="319"/>
    </row>
    <row r="1580" spans="3:6" ht="25.05" customHeight="1" x14ac:dyDescent="0.4">
      <c r="C1580" s="274"/>
      <c r="D1580" s="319"/>
      <c r="E1580" s="319"/>
      <c r="F1580" s="319"/>
    </row>
    <row r="1581" spans="3:6" ht="25.05" customHeight="1" x14ac:dyDescent="0.4">
      <c r="C1581" s="274"/>
      <c r="D1581" s="319"/>
      <c r="E1581" s="319"/>
      <c r="F1581" s="319"/>
    </row>
    <row r="1582" spans="3:6" ht="25.05" customHeight="1" x14ac:dyDescent="0.4">
      <c r="C1582" s="274"/>
      <c r="D1582" s="319"/>
      <c r="E1582" s="319"/>
      <c r="F1582" s="319"/>
    </row>
    <row r="1583" spans="3:6" ht="25.05" customHeight="1" x14ac:dyDescent="0.4">
      <c r="C1583" s="274"/>
      <c r="D1583" s="319"/>
      <c r="E1583" s="319"/>
      <c r="F1583" s="319"/>
    </row>
    <row r="1584" spans="3:6" ht="25.05" customHeight="1" x14ac:dyDescent="0.4">
      <c r="C1584" s="274"/>
      <c r="D1584" s="319"/>
      <c r="E1584" s="319"/>
      <c r="F1584" s="319"/>
    </row>
    <row r="1585" spans="3:6" ht="25.05" customHeight="1" x14ac:dyDescent="0.4">
      <c r="C1585" s="274"/>
      <c r="D1585" s="319"/>
      <c r="E1585" s="319"/>
      <c r="F1585" s="319"/>
    </row>
    <row r="1586" spans="3:6" ht="25.05" customHeight="1" x14ac:dyDescent="0.4">
      <c r="C1586" s="274"/>
      <c r="D1586" s="319"/>
      <c r="E1586" s="319"/>
      <c r="F1586" s="319"/>
    </row>
    <row r="1587" spans="3:6" ht="25.05" customHeight="1" x14ac:dyDescent="0.4">
      <c r="C1587" s="274"/>
      <c r="D1587" s="319"/>
      <c r="E1587" s="319"/>
      <c r="F1587" s="319"/>
    </row>
    <row r="1588" spans="3:6" ht="25.05" customHeight="1" x14ac:dyDescent="0.4">
      <c r="C1588" s="274"/>
      <c r="D1588" s="319"/>
      <c r="E1588" s="319"/>
      <c r="F1588" s="319"/>
    </row>
    <row r="1589" spans="3:6" ht="25.05" customHeight="1" x14ac:dyDescent="0.4">
      <c r="C1589" s="274"/>
      <c r="D1589" s="319"/>
      <c r="E1589" s="319"/>
      <c r="F1589" s="319"/>
    </row>
    <row r="1590" spans="3:6" ht="25.05" customHeight="1" x14ac:dyDescent="0.4">
      <c r="C1590" s="274"/>
      <c r="D1590" s="319"/>
      <c r="E1590" s="319"/>
      <c r="F1590" s="319"/>
    </row>
    <row r="1591" spans="3:6" ht="25.05" customHeight="1" x14ac:dyDescent="0.4">
      <c r="C1591" s="274"/>
      <c r="D1591" s="319"/>
      <c r="E1591" s="319"/>
      <c r="F1591" s="319"/>
    </row>
    <row r="1592" spans="3:6" ht="25.05" customHeight="1" x14ac:dyDescent="0.4">
      <c r="C1592" s="274"/>
      <c r="D1592" s="319"/>
      <c r="E1592" s="319"/>
      <c r="F1592" s="319"/>
    </row>
    <row r="1593" spans="3:6" ht="25.05" customHeight="1" x14ac:dyDescent="0.4">
      <c r="C1593" s="274"/>
      <c r="D1593" s="319"/>
      <c r="E1593" s="319"/>
      <c r="F1593" s="319"/>
    </row>
    <row r="1594" spans="3:6" ht="25.05" customHeight="1" x14ac:dyDescent="0.4">
      <c r="C1594" s="274"/>
      <c r="D1594" s="319"/>
      <c r="E1594" s="319"/>
      <c r="F1594" s="319"/>
    </row>
    <row r="1595" spans="3:6" ht="25.05" customHeight="1" x14ac:dyDescent="0.4">
      <c r="C1595" s="274"/>
      <c r="D1595" s="319"/>
      <c r="E1595" s="319"/>
      <c r="F1595" s="319"/>
    </row>
    <row r="1596" spans="3:6" ht="25.05" customHeight="1" x14ac:dyDescent="0.4">
      <c r="C1596" s="274"/>
      <c r="D1596" s="319"/>
      <c r="E1596" s="319"/>
      <c r="F1596" s="319"/>
    </row>
    <row r="1597" spans="3:6" ht="25.05" customHeight="1" x14ac:dyDescent="0.4">
      <c r="C1597" s="274"/>
      <c r="D1597" s="319"/>
      <c r="E1597" s="319"/>
      <c r="F1597" s="319"/>
    </row>
    <row r="1598" spans="3:6" ht="25.05" customHeight="1" x14ac:dyDescent="0.4">
      <c r="C1598" s="274"/>
      <c r="D1598" s="319"/>
      <c r="E1598" s="319"/>
      <c r="F1598" s="319"/>
    </row>
    <row r="1599" spans="3:6" ht="25.05" customHeight="1" x14ac:dyDescent="0.4">
      <c r="C1599" s="274"/>
      <c r="D1599" s="319"/>
      <c r="E1599" s="319"/>
      <c r="F1599" s="319"/>
    </row>
    <row r="1600" spans="3:6" ht="25.05" customHeight="1" x14ac:dyDescent="0.4">
      <c r="C1600" s="274"/>
      <c r="D1600" s="319"/>
      <c r="E1600" s="319"/>
      <c r="F1600" s="319"/>
    </row>
    <row r="1601" spans="3:6" ht="25.05" customHeight="1" x14ac:dyDescent="0.4">
      <c r="C1601" s="274"/>
      <c r="D1601" s="319"/>
      <c r="E1601" s="319"/>
      <c r="F1601" s="319"/>
    </row>
    <row r="1602" spans="3:6" ht="25.05" customHeight="1" x14ac:dyDescent="0.4">
      <c r="C1602" s="274"/>
      <c r="D1602" s="319"/>
      <c r="E1602" s="319"/>
      <c r="F1602" s="319"/>
    </row>
    <row r="1603" spans="3:6" ht="25.05" customHeight="1" x14ac:dyDescent="0.4">
      <c r="C1603" s="274"/>
      <c r="D1603" s="319"/>
      <c r="E1603" s="319"/>
      <c r="F1603" s="319"/>
    </row>
    <row r="1604" spans="3:6" ht="25.05" customHeight="1" x14ac:dyDescent="0.4">
      <c r="C1604" s="274"/>
      <c r="D1604" s="319"/>
      <c r="E1604" s="319"/>
      <c r="F1604" s="319"/>
    </row>
    <row r="1605" spans="3:6" ht="25.05" customHeight="1" x14ac:dyDescent="0.4">
      <c r="C1605" s="274"/>
      <c r="D1605" s="319"/>
      <c r="E1605" s="319"/>
      <c r="F1605" s="319"/>
    </row>
    <row r="1606" spans="3:6" ht="25.05" customHeight="1" x14ac:dyDescent="0.4">
      <c r="C1606" s="274"/>
      <c r="D1606" s="319"/>
      <c r="E1606" s="319"/>
      <c r="F1606" s="319"/>
    </row>
    <row r="1607" spans="3:6" ht="25.05" customHeight="1" x14ac:dyDescent="0.4">
      <c r="C1607" s="274"/>
      <c r="D1607" s="319"/>
      <c r="E1607" s="319"/>
      <c r="F1607" s="319"/>
    </row>
    <row r="1608" spans="3:6" ht="25.05" customHeight="1" x14ac:dyDescent="0.4">
      <c r="C1608" s="274"/>
      <c r="D1608" s="319"/>
      <c r="E1608" s="319"/>
      <c r="F1608" s="319"/>
    </row>
    <row r="1609" spans="3:6" ht="25.05" customHeight="1" x14ac:dyDescent="0.4">
      <c r="C1609" s="274"/>
      <c r="D1609" s="319"/>
      <c r="E1609" s="319"/>
      <c r="F1609" s="319"/>
    </row>
    <row r="1610" spans="3:6" ht="25.05" customHeight="1" x14ac:dyDescent="0.4">
      <c r="C1610" s="274"/>
      <c r="D1610" s="319"/>
      <c r="E1610" s="319"/>
      <c r="F1610" s="319"/>
    </row>
    <row r="1611" spans="3:6" ht="25.05" customHeight="1" x14ac:dyDescent="0.4">
      <c r="C1611" s="274"/>
      <c r="D1611" s="319"/>
      <c r="E1611" s="319"/>
      <c r="F1611" s="319"/>
    </row>
    <row r="1612" spans="3:6" ht="25.05" customHeight="1" x14ac:dyDescent="0.4">
      <c r="C1612" s="274"/>
      <c r="D1612" s="319"/>
      <c r="E1612" s="319"/>
      <c r="F1612" s="319"/>
    </row>
    <row r="1613" spans="3:6" ht="25.05" customHeight="1" x14ac:dyDescent="0.4">
      <c r="C1613" s="274"/>
      <c r="D1613" s="319"/>
      <c r="E1613" s="319"/>
      <c r="F1613" s="319"/>
    </row>
    <row r="1614" spans="3:6" ht="25.05" customHeight="1" x14ac:dyDescent="0.4">
      <c r="C1614" s="274"/>
      <c r="D1614" s="319"/>
      <c r="E1614" s="319"/>
      <c r="F1614" s="319"/>
    </row>
    <row r="1615" spans="3:6" ht="25.05" customHeight="1" x14ac:dyDescent="0.4">
      <c r="C1615" s="274"/>
      <c r="D1615" s="319"/>
      <c r="E1615" s="319"/>
      <c r="F1615" s="319"/>
    </row>
    <row r="1616" spans="3:6" ht="25.05" customHeight="1" x14ac:dyDescent="0.4">
      <c r="C1616" s="274"/>
      <c r="D1616" s="319"/>
      <c r="E1616" s="319"/>
      <c r="F1616" s="319"/>
    </row>
    <row r="1617" spans="3:6" ht="25.05" customHeight="1" x14ac:dyDescent="0.4">
      <c r="C1617" s="274"/>
      <c r="D1617" s="319"/>
      <c r="E1617" s="319"/>
      <c r="F1617" s="319"/>
    </row>
    <row r="1618" spans="3:6" ht="25.05" customHeight="1" x14ac:dyDescent="0.4">
      <c r="C1618" s="274"/>
      <c r="D1618" s="319"/>
      <c r="E1618" s="319"/>
      <c r="F1618" s="319"/>
    </row>
    <row r="1619" spans="3:6" ht="25.05" customHeight="1" x14ac:dyDescent="0.4">
      <c r="C1619" s="274"/>
      <c r="D1619" s="319"/>
      <c r="E1619" s="319"/>
      <c r="F1619" s="319"/>
    </row>
    <row r="1620" spans="3:6" ht="25.05" customHeight="1" x14ac:dyDescent="0.4">
      <c r="C1620" s="274"/>
      <c r="D1620" s="319"/>
      <c r="E1620" s="319"/>
      <c r="F1620" s="319"/>
    </row>
    <row r="1621" spans="3:6" ht="25.05" customHeight="1" x14ac:dyDescent="0.4">
      <c r="C1621" s="274"/>
      <c r="D1621" s="319"/>
      <c r="E1621" s="319"/>
      <c r="F1621" s="319"/>
    </row>
    <row r="1622" spans="3:6" ht="25.05" customHeight="1" x14ac:dyDescent="0.4">
      <c r="C1622" s="274"/>
      <c r="D1622" s="319"/>
      <c r="E1622" s="319"/>
      <c r="F1622" s="319"/>
    </row>
    <row r="1623" spans="3:6" ht="25.05" customHeight="1" x14ac:dyDescent="0.4">
      <c r="C1623" s="274"/>
      <c r="D1623" s="319"/>
      <c r="E1623" s="319"/>
      <c r="F1623" s="319"/>
    </row>
    <row r="1624" spans="3:6" ht="25.05" customHeight="1" x14ac:dyDescent="0.4">
      <c r="C1624" s="274"/>
      <c r="D1624" s="319"/>
      <c r="E1624" s="319"/>
      <c r="F1624" s="319"/>
    </row>
    <row r="1625" spans="3:6" ht="25.05" customHeight="1" x14ac:dyDescent="0.4">
      <c r="C1625" s="274"/>
      <c r="D1625" s="319"/>
      <c r="E1625" s="319"/>
      <c r="F1625" s="319"/>
    </row>
    <row r="1626" spans="3:6" ht="25.05" customHeight="1" x14ac:dyDescent="0.4">
      <c r="C1626" s="274"/>
      <c r="D1626" s="319"/>
      <c r="E1626" s="319"/>
      <c r="F1626" s="319"/>
    </row>
    <row r="1627" spans="3:6" ht="25.05" customHeight="1" x14ac:dyDescent="0.4">
      <c r="C1627" s="274"/>
      <c r="D1627" s="319"/>
      <c r="E1627" s="319"/>
      <c r="F1627" s="319"/>
    </row>
    <row r="1628" spans="3:6" ht="25.05" customHeight="1" x14ac:dyDescent="0.4">
      <c r="C1628" s="274"/>
      <c r="D1628" s="319"/>
      <c r="E1628" s="319"/>
      <c r="F1628" s="319"/>
    </row>
    <row r="1629" spans="3:6" ht="25.05" customHeight="1" x14ac:dyDescent="0.4">
      <c r="C1629" s="274"/>
      <c r="D1629" s="319"/>
      <c r="E1629" s="319"/>
      <c r="F1629" s="319"/>
    </row>
    <row r="1630" spans="3:6" ht="25.05" customHeight="1" x14ac:dyDescent="0.4">
      <c r="C1630" s="274"/>
      <c r="D1630" s="319"/>
      <c r="E1630" s="319"/>
      <c r="F1630" s="319"/>
    </row>
    <row r="1631" spans="3:6" ht="25.05" customHeight="1" x14ac:dyDescent="0.4">
      <c r="C1631" s="274"/>
      <c r="D1631" s="319"/>
      <c r="E1631" s="319"/>
      <c r="F1631" s="319"/>
    </row>
    <row r="1632" spans="3:6" ht="25.05" customHeight="1" x14ac:dyDescent="0.4">
      <c r="C1632" s="274"/>
      <c r="D1632" s="319"/>
      <c r="E1632" s="319"/>
      <c r="F1632" s="319"/>
    </row>
    <row r="1633" spans="3:6" ht="25.05" customHeight="1" x14ac:dyDescent="0.4">
      <c r="C1633" s="274"/>
      <c r="D1633" s="319"/>
      <c r="E1633" s="319"/>
      <c r="F1633" s="319"/>
    </row>
    <row r="1634" spans="3:6" ht="25.05" customHeight="1" x14ac:dyDescent="0.4">
      <c r="C1634" s="274"/>
      <c r="D1634" s="319"/>
      <c r="E1634" s="319"/>
      <c r="F1634" s="319"/>
    </row>
    <row r="1635" spans="3:6" ht="25.05" customHeight="1" x14ac:dyDescent="0.4">
      <c r="C1635" s="274"/>
      <c r="D1635" s="319"/>
      <c r="E1635" s="319"/>
      <c r="F1635" s="319"/>
    </row>
    <row r="1636" spans="3:6" ht="25.05" customHeight="1" x14ac:dyDescent="0.4">
      <c r="C1636" s="274"/>
      <c r="D1636" s="319"/>
      <c r="E1636" s="319"/>
      <c r="F1636" s="319"/>
    </row>
    <row r="1637" spans="3:6" ht="25.05" customHeight="1" x14ac:dyDescent="0.4">
      <c r="C1637" s="274"/>
      <c r="D1637" s="319"/>
      <c r="E1637" s="319"/>
      <c r="F1637" s="319"/>
    </row>
    <row r="1638" spans="3:6" ht="25.05" customHeight="1" x14ac:dyDescent="0.4">
      <c r="C1638" s="274"/>
      <c r="D1638" s="319"/>
      <c r="E1638" s="319"/>
      <c r="F1638" s="319"/>
    </row>
    <row r="1639" spans="3:6" ht="25.05" customHeight="1" x14ac:dyDescent="0.4">
      <c r="C1639" s="274"/>
      <c r="D1639" s="319"/>
      <c r="E1639" s="319"/>
      <c r="F1639" s="319"/>
    </row>
    <row r="1640" spans="3:6" ht="25.05" customHeight="1" x14ac:dyDescent="0.4">
      <c r="C1640" s="274"/>
      <c r="D1640" s="319"/>
      <c r="E1640" s="319"/>
      <c r="F1640" s="319"/>
    </row>
    <row r="1641" spans="3:6" ht="25.05" customHeight="1" x14ac:dyDescent="0.4">
      <c r="C1641" s="274"/>
      <c r="D1641" s="319"/>
      <c r="E1641" s="319"/>
      <c r="F1641" s="319"/>
    </row>
    <row r="1642" spans="3:6" ht="25.05" customHeight="1" x14ac:dyDescent="0.4">
      <c r="C1642" s="274"/>
      <c r="D1642" s="319"/>
      <c r="E1642" s="319"/>
      <c r="F1642" s="319"/>
    </row>
    <row r="1643" spans="3:6" ht="25.05" customHeight="1" x14ac:dyDescent="0.4">
      <c r="C1643" s="274"/>
      <c r="D1643" s="319"/>
      <c r="E1643" s="319"/>
      <c r="F1643" s="319"/>
    </row>
    <row r="1644" spans="3:6" ht="25.05" customHeight="1" x14ac:dyDescent="0.4">
      <c r="C1644" s="274"/>
      <c r="D1644" s="319"/>
      <c r="E1644" s="319"/>
      <c r="F1644" s="319"/>
    </row>
    <row r="1645" spans="3:6" ht="25.05" customHeight="1" x14ac:dyDescent="0.4">
      <c r="C1645" s="274"/>
      <c r="D1645" s="319"/>
      <c r="E1645" s="319"/>
      <c r="F1645" s="319"/>
    </row>
    <row r="1646" spans="3:6" ht="25.05" customHeight="1" x14ac:dyDescent="0.4">
      <c r="C1646" s="274"/>
      <c r="D1646" s="319"/>
      <c r="E1646" s="319"/>
      <c r="F1646" s="319"/>
    </row>
    <row r="1647" spans="3:6" ht="25.05" customHeight="1" x14ac:dyDescent="0.4">
      <c r="C1647" s="274"/>
      <c r="D1647" s="319"/>
      <c r="E1647" s="319"/>
      <c r="F1647" s="319"/>
    </row>
    <row r="1648" spans="3:6" ht="25.05" customHeight="1" x14ac:dyDescent="0.4">
      <c r="C1648" s="274"/>
      <c r="D1648" s="319"/>
      <c r="E1648" s="319"/>
      <c r="F1648" s="319"/>
    </row>
    <row r="1649" spans="3:6" ht="25.05" customHeight="1" x14ac:dyDescent="0.4">
      <c r="C1649" s="274"/>
      <c r="D1649" s="319"/>
      <c r="E1649" s="319"/>
      <c r="F1649" s="319"/>
    </row>
    <row r="1650" spans="3:6" ht="25.05" customHeight="1" x14ac:dyDescent="0.4">
      <c r="C1650" s="274"/>
      <c r="D1650" s="319"/>
      <c r="E1650" s="319"/>
      <c r="F1650" s="319"/>
    </row>
    <row r="1651" spans="3:6" ht="25.05" customHeight="1" x14ac:dyDescent="0.4">
      <c r="C1651" s="274"/>
      <c r="D1651" s="319"/>
      <c r="E1651" s="319"/>
      <c r="F1651" s="319"/>
    </row>
    <row r="1652" spans="3:6" ht="25.05" customHeight="1" x14ac:dyDescent="0.4">
      <c r="C1652" s="274"/>
      <c r="D1652" s="319"/>
      <c r="E1652" s="319"/>
      <c r="F1652" s="319"/>
    </row>
    <row r="1653" spans="3:6" ht="25.05" customHeight="1" x14ac:dyDescent="0.4">
      <c r="C1653" s="274"/>
      <c r="D1653" s="319"/>
      <c r="E1653" s="319"/>
      <c r="F1653" s="319"/>
    </row>
    <row r="1654" spans="3:6" ht="25.05" customHeight="1" x14ac:dyDescent="0.4">
      <c r="C1654" s="274"/>
      <c r="D1654" s="319"/>
      <c r="E1654" s="319"/>
      <c r="F1654" s="319"/>
    </row>
    <row r="1655" spans="3:6" ht="25.05" customHeight="1" x14ac:dyDescent="0.4">
      <c r="C1655" s="274"/>
      <c r="D1655" s="319"/>
      <c r="E1655" s="319"/>
      <c r="F1655" s="319"/>
    </row>
    <row r="1656" spans="3:6" ht="25.05" customHeight="1" x14ac:dyDescent="0.4">
      <c r="C1656" s="274"/>
      <c r="D1656" s="319"/>
      <c r="E1656" s="319"/>
      <c r="F1656" s="319"/>
    </row>
    <row r="1657" spans="3:6" ht="25.05" customHeight="1" x14ac:dyDescent="0.4">
      <c r="C1657" s="274"/>
      <c r="D1657" s="319"/>
      <c r="E1657" s="319"/>
      <c r="F1657" s="319"/>
    </row>
    <row r="1658" spans="3:6" ht="25.05" customHeight="1" x14ac:dyDescent="0.4">
      <c r="C1658" s="274"/>
      <c r="D1658" s="319"/>
      <c r="E1658" s="319"/>
      <c r="F1658" s="319"/>
    </row>
    <row r="1659" spans="3:6" ht="25.05" customHeight="1" x14ac:dyDescent="0.4">
      <c r="C1659" s="274"/>
      <c r="D1659" s="319"/>
      <c r="E1659" s="319"/>
      <c r="F1659" s="319"/>
    </row>
    <row r="1660" spans="3:6" ht="25.05" customHeight="1" x14ac:dyDescent="0.4">
      <c r="C1660" s="274"/>
      <c r="D1660" s="319"/>
      <c r="E1660" s="319"/>
      <c r="F1660" s="319"/>
    </row>
    <row r="1661" spans="3:6" ht="25.05" customHeight="1" x14ac:dyDescent="0.4">
      <c r="C1661" s="274"/>
      <c r="D1661" s="319"/>
      <c r="E1661" s="319"/>
      <c r="F1661" s="319"/>
    </row>
    <row r="1662" spans="3:6" ht="25.05" customHeight="1" x14ac:dyDescent="0.4">
      <c r="C1662" s="274"/>
      <c r="D1662" s="319"/>
      <c r="E1662" s="319"/>
      <c r="F1662" s="319"/>
    </row>
    <row r="1663" spans="3:6" ht="25.05" customHeight="1" x14ac:dyDescent="0.4">
      <c r="C1663" s="274"/>
      <c r="D1663" s="319"/>
      <c r="E1663" s="319"/>
      <c r="F1663" s="319"/>
    </row>
    <row r="1664" spans="3:6" ht="25.05" customHeight="1" x14ac:dyDescent="0.4">
      <c r="C1664" s="274"/>
      <c r="D1664" s="319"/>
      <c r="E1664" s="319"/>
      <c r="F1664" s="319"/>
    </row>
    <row r="1665" spans="3:6" ht="25.05" customHeight="1" x14ac:dyDescent="0.4">
      <c r="C1665" s="274"/>
      <c r="D1665" s="319"/>
      <c r="E1665" s="319"/>
      <c r="F1665" s="319"/>
    </row>
    <row r="1666" spans="3:6" ht="25.05" customHeight="1" x14ac:dyDescent="0.4">
      <c r="C1666" s="274"/>
      <c r="D1666" s="319"/>
      <c r="E1666" s="319"/>
      <c r="F1666" s="319"/>
    </row>
    <row r="1667" spans="3:6" ht="25.05" customHeight="1" x14ac:dyDescent="0.4">
      <c r="C1667" s="274"/>
      <c r="D1667" s="319"/>
      <c r="E1667" s="319"/>
      <c r="F1667" s="319"/>
    </row>
    <row r="1668" spans="3:6" ht="25.05" customHeight="1" x14ac:dyDescent="0.4">
      <c r="C1668" s="274"/>
      <c r="D1668" s="319"/>
      <c r="E1668" s="319"/>
      <c r="F1668" s="319"/>
    </row>
    <row r="1669" spans="3:6" ht="25.05" customHeight="1" x14ac:dyDescent="0.4">
      <c r="C1669" s="274"/>
      <c r="D1669" s="319"/>
      <c r="E1669" s="319"/>
      <c r="F1669" s="319"/>
    </row>
    <row r="1670" spans="3:6" ht="25.05" customHeight="1" x14ac:dyDescent="0.4">
      <c r="C1670" s="274"/>
      <c r="D1670" s="319"/>
      <c r="E1670" s="319"/>
      <c r="F1670" s="319"/>
    </row>
    <row r="1671" spans="3:6" ht="25.05" customHeight="1" x14ac:dyDescent="0.4">
      <c r="C1671" s="274"/>
      <c r="D1671" s="319"/>
      <c r="E1671" s="319"/>
      <c r="F1671" s="319"/>
    </row>
    <row r="1672" spans="3:6" ht="25.05" customHeight="1" x14ac:dyDescent="0.4">
      <c r="C1672" s="274"/>
      <c r="D1672" s="319"/>
      <c r="E1672" s="319"/>
      <c r="F1672" s="319"/>
    </row>
    <row r="1673" spans="3:6" ht="25.05" customHeight="1" x14ac:dyDescent="0.4">
      <c r="C1673" s="274"/>
      <c r="D1673" s="319"/>
      <c r="E1673" s="319"/>
      <c r="F1673" s="319"/>
    </row>
    <row r="1674" spans="3:6" ht="25.05" customHeight="1" x14ac:dyDescent="0.4">
      <c r="C1674" s="274"/>
      <c r="D1674" s="319"/>
      <c r="E1674" s="319"/>
      <c r="F1674" s="319"/>
    </row>
    <row r="1675" spans="3:6" ht="25.05" customHeight="1" x14ac:dyDescent="0.4">
      <c r="C1675" s="274"/>
      <c r="D1675" s="319"/>
      <c r="E1675" s="319"/>
      <c r="F1675" s="319"/>
    </row>
    <row r="1676" spans="3:6" ht="25.05" customHeight="1" x14ac:dyDescent="0.4">
      <c r="C1676" s="274"/>
      <c r="D1676" s="319"/>
      <c r="E1676" s="319"/>
      <c r="F1676" s="319"/>
    </row>
    <row r="1677" spans="3:6" ht="25.05" customHeight="1" x14ac:dyDescent="0.4">
      <c r="C1677" s="274"/>
      <c r="D1677" s="319"/>
      <c r="E1677" s="319"/>
      <c r="F1677" s="319"/>
    </row>
    <row r="1678" spans="3:6" ht="25.05" customHeight="1" x14ac:dyDescent="0.4">
      <c r="C1678" s="274"/>
      <c r="D1678" s="319"/>
      <c r="E1678" s="319"/>
      <c r="F1678" s="319"/>
    </row>
    <row r="1679" spans="3:6" ht="25.05" customHeight="1" x14ac:dyDescent="0.4">
      <c r="C1679" s="274"/>
      <c r="D1679" s="319"/>
      <c r="E1679" s="319"/>
      <c r="F1679" s="319"/>
    </row>
    <row r="1680" spans="3:6" ht="25.05" customHeight="1" x14ac:dyDescent="0.4">
      <c r="C1680" s="274"/>
      <c r="D1680" s="319"/>
      <c r="E1680" s="319"/>
      <c r="F1680" s="319"/>
    </row>
    <row r="1681" spans="3:6" ht="25.05" customHeight="1" x14ac:dyDescent="0.4">
      <c r="C1681" s="274"/>
      <c r="D1681" s="319"/>
      <c r="E1681" s="319"/>
      <c r="F1681" s="319"/>
    </row>
    <row r="1682" spans="3:6" ht="25.05" customHeight="1" x14ac:dyDescent="0.4">
      <c r="C1682" s="274"/>
      <c r="D1682" s="319"/>
      <c r="E1682" s="319"/>
      <c r="F1682" s="319"/>
    </row>
    <row r="1683" spans="3:6" ht="25.05" customHeight="1" x14ac:dyDescent="0.4">
      <c r="C1683" s="274"/>
      <c r="D1683" s="319"/>
      <c r="E1683" s="319"/>
      <c r="F1683" s="319"/>
    </row>
    <row r="1684" spans="3:6" ht="25.05" customHeight="1" x14ac:dyDescent="0.4">
      <c r="C1684" s="274"/>
      <c r="D1684" s="319"/>
      <c r="E1684" s="319"/>
      <c r="F1684" s="319"/>
    </row>
    <row r="1685" spans="3:6" ht="25.05" customHeight="1" x14ac:dyDescent="0.4">
      <c r="C1685" s="274"/>
      <c r="D1685" s="319"/>
      <c r="E1685" s="319"/>
      <c r="F1685" s="319"/>
    </row>
    <row r="1686" spans="3:6" ht="25.05" customHeight="1" x14ac:dyDescent="0.4">
      <c r="C1686" s="274"/>
      <c r="D1686" s="319"/>
      <c r="E1686" s="319"/>
      <c r="F1686" s="319"/>
    </row>
    <row r="1687" spans="3:6" ht="25.05" customHeight="1" x14ac:dyDescent="0.4">
      <c r="C1687" s="274"/>
      <c r="D1687" s="319"/>
      <c r="E1687" s="319"/>
      <c r="F1687" s="319"/>
    </row>
    <row r="1688" spans="3:6" ht="25.05" customHeight="1" x14ac:dyDescent="0.4">
      <c r="C1688" s="274"/>
      <c r="D1688" s="319"/>
      <c r="E1688" s="319"/>
      <c r="F1688" s="319"/>
    </row>
    <row r="1689" spans="3:6" ht="25.05" customHeight="1" x14ac:dyDescent="0.4">
      <c r="C1689" s="274"/>
      <c r="D1689" s="319"/>
      <c r="E1689" s="319"/>
      <c r="F1689" s="319"/>
    </row>
    <row r="1690" spans="3:6" ht="25.05" customHeight="1" x14ac:dyDescent="0.4">
      <c r="C1690" s="274"/>
      <c r="D1690" s="319"/>
      <c r="E1690" s="319"/>
      <c r="F1690" s="319"/>
    </row>
    <row r="1691" spans="3:6" ht="25.05" customHeight="1" x14ac:dyDescent="0.4">
      <c r="C1691" s="274"/>
      <c r="D1691" s="319"/>
      <c r="E1691" s="319"/>
      <c r="F1691" s="319"/>
    </row>
    <row r="1692" spans="3:6" ht="25.05" customHeight="1" x14ac:dyDescent="0.4">
      <c r="C1692" s="274"/>
      <c r="D1692" s="319"/>
      <c r="E1692" s="319"/>
      <c r="F1692" s="319"/>
    </row>
    <row r="1693" spans="3:6" ht="25.05" customHeight="1" x14ac:dyDescent="0.4">
      <c r="C1693" s="274"/>
      <c r="D1693" s="319"/>
      <c r="E1693" s="319"/>
      <c r="F1693" s="319"/>
    </row>
    <row r="1694" spans="3:6" ht="25.05" customHeight="1" x14ac:dyDescent="0.4">
      <c r="C1694" s="274"/>
      <c r="D1694" s="319"/>
      <c r="E1694" s="319"/>
      <c r="F1694" s="319"/>
    </row>
    <row r="1695" spans="3:6" ht="25.05" customHeight="1" x14ac:dyDescent="0.4">
      <c r="C1695" s="274"/>
      <c r="D1695" s="319"/>
      <c r="E1695" s="319"/>
      <c r="F1695" s="319"/>
    </row>
    <row r="1696" spans="3:6" ht="25.05" customHeight="1" x14ac:dyDescent="0.4">
      <c r="C1696" s="274"/>
      <c r="D1696" s="319"/>
      <c r="E1696" s="319"/>
      <c r="F1696" s="319"/>
    </row>
    <row r="1697" spans="3:6" ht="25.05" customHeight="1" x14ac:dyDescent="0.4">
      <c r="C1697" s="274"/>
      <c r="D1697" s="319"/>
      <c r="E1697" s="319"/>
      <c r="F1697" s="319"/>
    </row>
    <row r="1698" spans="3:6" ht="25.05" customHeight="1" x14ac:dyDescent="0.4">
      <c r="C1698" s="274"/>
      <c r="D1698" s="319"/>
      <c r="E1698" s="319"/>
      <c r="F1698" s="319"/>
    </row>
    <row r="1699" spans="3:6" ht="25.05" customHeight="1" x14ac:dyDescent="0.4">
      <c r="C1699" s="274"/>
      <c r="D1699" s="319"/>
      <c r="E1699" s="319"/>
      <c r="F1699" s="319"/>
    </row>
    <row r="1700" spans="3:6" ht="25.05" customHeight="1" x14ac:dyDescent="0.4">
      <c r="C1700" s="274"/>
      <c r="D1700" s="319"/>
      <c r="E1700" s="319"/>
      <c r="F1700" s="319"/>
    </row>
    <row r="1701" spans="3:6" ht="25.05" customHeight="1" x14ac:dyDescent="0.4">
      <c r="C1701" s="274"/>
      <c r="D1701" s="319"/>
      <c r="E1701" s="319"/>
      <c r="F1701" s="319"/>
    </row>
    <row r="1702" spans="3:6" ht="25.05" customHeight="1" x14ac:dyDescent="0.4">
      <c r="C1702" s="274"/>
      <c r="D1702" s="319"/>
      <c r="E1702" s="319"/>
      <c r="F1702" s="319"/>
    </row>
    <row r="1703" spans="3:6" ht="25.05" customHeight="1" x14ac:dyDescent="0.4">
      <c r="C1703" s="274"/>
      <c r="D1703" s="319"/>
      <c r="E1703" s="319"/>
      <c r="F1703" s="319"/>
    </row>
    <row r="1704" spans="3:6" ht="25.05" customHeight="1" x14ac:dyDescent="0.4">
      <c r="C1704" s="274"/>
      <c r="D1704" s="319"/>
      <c r="E1704" s="319"/>
      <c r="F1704" s="319"/>
    </row>
    <row r="1705" spans="3:6" ht="25.05" customHeight="1" x14ac:dyDescent="0.4">
      <c r="C1705" s="274"/>
      <c r="D1705" s="319"/>
      <c r="E1705" s="319"/>
      <c r="F1705" s="319"/>
    </row>
    <row r="1706" spans="3:6" ht="25.05" customHeight="1" x14ac:dyDescent="0.4">
      <c r="C1706" s="274"/>
      <c r="D1706" s="319"/>
      <c r="E1706" s="319"/>
      <c r="F1706" s="319"/>
    </row>
    <row r="1707" spans="3:6" ht="25.05" customHeight="1" x14ac:dyDescent="0.4">
      <c r="C1707" s="274"/>
      <c r="D1707" s="319"/>
      <c r="E1707" s="319"/>
      <c r="F1707" s="319"/>
    </row>
    <row r="1708" spans="3:6" ht="25.05" customHeight="1" x14ac:dyDescent="0.4">
      <c r="C1708" s="274"/>
      <c r="D1708" s="319"/>
      <c r="E1708" s="319"/>
      <c r="F1708" s="319"/>
    </row>
    <row r="1709" spans="3:6" ht="25.05" customHeight="1" x14ac:dyDescent="0.4">
      <c r="C1709" s="274"/>
      <c r="D1709" s="319"/>
      <c r="E1709" s="319"/>
      <c r="F1709" s="319"/>
    </row>
    <row r="1710" spans="3:6" ht="25.05" customHeight="1" x14ac:dyDescent="0.4">
      <c r="C1710" s="274"/>
      <c r="D1710" s="319"/>
      <c r="E1710" s="319"/>
      <c r="F1710" s="319"/>
    </row>
    <row r="1711" spans="3:6" ht="25.05" customHeight="1" x14ac:dyDescent="0.4">
      <c r="C1711" s="274"/>
      <c r="D1711" s="319"/>
      <c r="E1711" s="319"/>
      <c r="F1711" s="319"/>
    </row>
    <row r="1712" spans="3:6" ht="25.05" customHeight="1" x14ac:dyDescent="0.4">
      <c r="C1712" s="274"/>
      <c r="D1712" s="319"/>
      <c r="E1712" s="319"/>
      <c r="F1712" s="319"/>
    </row>
    <row r="1713" spans="3:6" ht="25.05" customHeight="1" x14ac:dyDescent="0.4">
      <c r="C1713" s="274"/>
      <c r="D1713" s="319"/>
      <c r="E1713" s="319"/>
      <c r="F1713" s="319"/>
    </row>
    <row r="1714" spans="3:6" ht="25.05" customHeight="1" x14ac:dyDescent="0.4">
      <c r="C1714" s="274"/>
      <c r="D1714" s="319"/>
      <c r="E1714" s="319"/>
      <c r="F1714" s="319"/>
    </row>
    <row r="1715" spans="3:6" ht="25.05" customHeight="1" x14ac:dyDescent="0.4">
      <c r="C1715" s="274"/>
      <c r="D1715" s="319"/>
      <c r="E1715" s="319"/>
      <c r="F1715" s="319"/>
    </row>
    <row r="1716" spans="3:6" ht="25.05" customHeight="1" x14ac:dyDescent="0.4">
      <c r="C1716" s="274"/>
      <c r="D1716" s="319"/>
      <c r="E1716" s="319"/>
      <c r="F1716" s="319"/>
    </row>
    <row r="1717" spans="3:6" ht="25.05" customHeight="1" x14ac:dyDescent="0.4">
      <c r="C1717" s="274"/>
      <c r="D1717" s="319"/>
      <c r="E1717" s="319"/>
      <c r="F1717" s="319"/>
    </row>
    <row r="1718" spans="3:6" ht="25.05" customHeight="1" x14ac:dyDescent="0.4">
      <c r="C1718" s="274"/>
      <c r="D1718" s="319"/>
      <c r="E1718" s="319"/>
      <c r="F1718" s="319"/>
    </row>
    <row r="1719" spans="3:6" ht="25.05" customHeight="1" x14ac:dyDescent="0.4">
      <c r="C1719" s="274"/>
      <c r="D1719" s="319"/>
      <c r="E1719" s="319"/>
      <c r="F1719" s="319"/>
    </row>
    <row r="1720" spans="3:6" ht="25.05" customHeight="1" x14ac:dyDescent="0.4">
      <c r="C1720" s="274"/>
      <c r="D1720" s="319"/>
      <c r="E1720" s="319"/>
      <c r="F1720" s="319"/>
    </row>
    <row r="1721" spans="3:6" ht="25.05" customHeight="1" x14ac:dyDescent="0.4">
      <c r="C1721" s="274"/>
      <c r="D1721" s="319"/>
      <c r="E1721" s="319"/>
      <c r="F1721" s="319"/>
    </row>
    <row r="1722" spans="3:6" ht="25.05" customHeight="1" x14ac:dyDescent="0.4">
      <c r="C1722" s="274"/>
      <c r="D1722" s="319"/>
      <c r="E1722" s="319"/>
      <c r="F1722" s="319"/>
    </row>
    <row r="1723" spans="3:6" ht="25.05" customHeight="1" x14ac:dyDescent="0.4">
      <c r="C1723" s="274"/>
      <c r="D1723" s="319"/>
      <c r="E1723" s="319"/>
      <c r="F1723" s="319"/>
    </row>
    <row r="1724" spans="3:6" ht="25.05" customHeight="1" x14ac:dyDescent="0.4">
      <c r="C1724" s="274"/>
      <c r="D1724" s="319"/>
      <c r="E1724" s="319"/>
      <c r="F1724" s="319"/>
    </row>
    <row r="1725" spans="3:6" ht="25.05" customHeight="1" x14ac:dyDescent="0.4">
      <c r="C1725" s="274"/>
      <c r="D1725" s="319"/>
      <c r="E1725" s="319"/>
      <c r="F1725" s="319"/>
    </row>
    <row r="1726" spans="3:6" ht="25.05" customHeight="1" x14ac:dyDescent="0.4">
      <c r="C1726" s="274"/>
      <c r="D1726" s="319"/>
      <c r="E1726" s="319"/>
      <c r="F1726" s="319"/>
    </row>
    <row r="1727" spans="3:6" ht="25.05" customHeight="1" x14ac:dyDescent="0.4">
      <c r="C1727" s="274"/>
      <c r="D1727" s="319"/>
      <c r="E1727" s="319"/>
      <c r="F1727" s="319"/>
    </row>
    <row r="1728" spans="3:6" ht="25.05" customHeight="1" x14ac:dyDescent="0.4">
      <c r="C1728" s="274"/>
      <c r="D1728" s="319"/>
      <c r="E1728" s="319"/>
      <c r="F1728" s="319"/>
    </row>
    <row r="1729" spans="3:6" ht="25.05" customHeight="1" x14ac:dyDescent="0.4">
      <c r="C1729" s="274"/>
      <c r="D1729" s="319"/>
      <c r="E1729" s="319"/>
      <c r="F1729" s="319"/>
    </row>
    <row r="1730" spans="3:6" ht="25.05" customHeight="1" x14ac:dyDescent="0.4">
      <c r="C1730" s="274"/>
      <c r="D1730" s="319"/>
      <c r="E1730" s="319"/>
      <c r="F1730" s="319"/>
    </row>
    <row r="1731" spans="3:6" ht="25.05" customHeight="1" x14ac:dyDescent="0.4">
      <c r="C1731" s="274"/>
      <c r="D1731" s="319"/>
      <c r="E1731" s="319"/>
      <c r="F1731" s="319"/>
    </row>
    <row r="1732" spans="3:6" ht="25.05" customHeight="1" x14ac:dyDescent="0.4">
      <c r="C1732" s="274"/>
      <c r="D1732" s="319"/>
      <c r="E1732" s="319"/>
      <c r="F1732" s="319"/>
    </row>
    <row r="1733" spans="3:6" ht="25.05" customHeight="1" x14ac:dyDescent="0.4">
      <c r="C1733" s="274"/>
      <c r="D1733" s="319"/>
      <c r="E1733" s="319"/>
      <c r="F1733" s="319"/>
    </row>
    <row r="1734" spans="3:6" ht="25.05" customHeight="1" x14ac:dyDescent="0.4">
      <c r="C1734" s="274"/>
      <c r="D1734" s="319"/>
      <c r="E1734" s="319"/>
      <c r="F1734" s="319"/>
    </row>
    <row r="1735" spans="3:6" ht="25.05" customHeight="1" x14ac:dyDescent="0.4">
      <c r="C1735" s="274"/>
      <c r="D1735" s="319"/>
      <c r="E1735" s="319"/>
      <c r="F1735" s="319"/>
    </row>
    <row r="1736" spans="3:6" ht="25.05" customHeight="1" x14ac:dyDescent="0.4">
      <c r="C1736" s="274"/>
      <c r="D1736" s="319"/>
      <c r="E1736" s="319"/>
      <c r="F1736" s="319"/>
    </row>
    <row r="1737" spans="3:6" ht="25.05" customHeight="1" x14ac:dyDescent="0.4">
      <c r="C1737" s="274"/>
      <c r="D1737" s="319"/>
      <c r="E1737" s="319"/>
      <c r="F1737" s="319"/>
    </row>
    <row r="1738" spans="3:6" ht="25.05" customHeight="1" x14ac:dyDescent="0.4">
      <c r="C1738" s="274"/>
      <c r="D1738" s="319"/>
      <c r="E1738" s="319"/>
      <c r="F1738" s="319"/>
    </row>
    <row r="1739" spans="3:6" ht="25.05" customHeight="1" x14ac:dyDescent="0.4">
      <c r="C1739" s="274"/>
      <c r="D1739" s="319"/>
      <c r="E1739" s="319"/>
      <c r="F1739" s="319"/>
    </row>
    <row r="1740" spans="3:6" ht="25.05" customHeight="1" x14ac:dyDescent="0.4">
      <c r="C1740" s="274"/>
      <c r="D1740" s="319"/>
      <c r="E1740" s="319"/>
      <c r="F1740" s="319"/>
    </row>
    <row r="1741" spans="3:6" ht="25.05" customHeight="1" x14ac:dyDescent="0.4">
      <c r="C1741" s="274"/>
      <c r="D1741" s="319"/>
      <c r="E1741" s="319"/>
      <c r="F1741" s="319"/>
    </row>
    <row r="1742" spans="3:6" ht="25.05" customHeight="1" x14ac:dyDescent="0.4">
      <c r="C1742" s="274"/>
      <c r="D1742" s="319"/>
      <c r="E1742" s="319"/>
      <c r="F1742" s="319"/>
    </row>
    <row r="1743" spans="3:6" ht="25.05" customHeight="1" x14ac:dyDescent="0.4">
      <c r="C1743" s="274"/>
      <c r="D1743" s="319"/>
      <c r="E1743" s="319"/>
      <c r="F1743" s="319"/>
    </row>
    <row r="1744" spans="3:6" ht="25.05" customHeight="1" x14ac:dyDescent="0.4">
      <c r="C1744" s="274"/>
      <c r="D1744" s="319"/>
      <c r="E1744" s="319"/>
      <c r="F1744" s="319"/>
    </row>
    <row r="1745" spans="3:6" ht="25.05" customHeight="1" x14ac:dyDescent="0.4">
      <c r="C1745" s="274"/>
      <c r="D1745" s="319"/>
      <c r="E1745" s="319"/>
      <c r="F1745" s="319"/>
    </row>
    <row r="1746" spans="3:6" ht="25.05" customHeight="1" x14ac:dyDescent="0.4">
      <c r="C1746" s="274"/>
      <c r="D1746" s="319"/>
      <c r="E1746" s="319"/>
      <c r="F1746" s="319"/>
    </row>
    <row r="1747" spans="3:6" ht="25.05" customHeight="1" x14ac:dyDescent="0.4">
      <c r="C1747" s="274"/>
      <c r="D1747" s="319"/>
      <c r="E1747" s="319"/>
      <c r="F1747" s="319"/>
    </row>
    <row r="1748" spans="3:6" ht="25.05" customHeight="1" x14ac:dyDescent="0.4">
      <c r="C1748" s="274"/>
      <c r="D1748" s="319"/>
      <c r="E1748" s="319"/>
      <c r="F1748" s="319"/>
    </row>
    <row r="1749" spans="3:6" ht="25.05" customHeight="1" x14ac:dyDescent="0.4">
      <c r="C1749" s="274"/>
      <c r="D1749" s="319"/>
      <c r="E1749" s="319"/>
      <c r="F1749" s="319"/>
    </row>
    <row r="1750" spans="3:6" ht="25.05" customHeight="1" x14ac:dyDescent="0.4">
      <c r="C1750" s="274"/>
      <c r="D1750" s="319"/>
      <c r="E1750" s="319"/>
      <c r="F1750" s="319"/>
    </row>
    <row r="1751" spans="3:6" ht="25.05" customHeight="1" x14ac:dyDescent="0.4">
      <c r="C1751" s="274"/>
      <c r="D1751" s="319"/>
      <c r="E1751" s="319"/>
      <c r="F1751" s="319"/>
    </row>
    <row r="1752" spans="3:6" ht="25.05" customHeight="1" x14ac:dyDescent="0.4">
      <c r="C1752" s="274"/>
      <c r="D1752" s="319"/>
      <c r="E1752" s="319"/>
      <c r="F1752" s="319"/>
    </row>
    <row r="1753" spans="3:6" ht="25.05" customHeight="1" x14ac:dyDescent="0.4">
      <c r="C1753" s="274"/>
      <c r="D1753" s="319"/>
      <c r="E1753" s="319"/>
      <c r="F1753" s="319"/>
    </row>
    <row r="1754" spans="3:6" ht="25.05" customHeight="1" x14ac:dyDescent="0.4">
      <c r="C1754" s="274"/>
      <c r="D1754" s="319"/>
      <c r="E1754" s="319"/>
      <c r="F1754" s="319"/>
    </row>
    <row r="1755" spans="3:6" ht="25.05" customHeight="1" x14ac:dyDescent="0.4">
      <c r="C1755" s="274"/>
      <c r="D1755" s="319"/>
      <c r="E1755" s="319"/>
      <c r="F1755" s="319"/>
    </row>
    <row r="1756" spans="3:6" ht="25.05" customHeight="1" x14ac:dyDescent="0.4">
      <c r="C1756" s="274"/>
      <c r="D1756" s="319"/>
      <c r="E1756" s="319"/>
      <c r="F1756" s="319"/>
    </row>
    <row r="1757" spans="3:6" ht="25.05" customHeight="1" x14ac:dyDescent="0.4">
      <c r="C1757" s="274"/>
      <c r="D1757" s="319"/>
      <c r="E1757" s="319"/>
      <c r="F1757" s="319"/>
    </row>
    <row r="1758" spans="3:6" ht="25.05" customHeight="1" x14ac:dyDescent="0.4">
      <c r="C1758" s="274"/>
      <c r="D1758" s="319"/>
      <c r="E1758" s="319"/>
      <c r="F1758" s="319"/>
    </row>
    <row r="1759" spans="3:6" ht="25.05" customHeight="1" x14ac:dyDescent="0.4">
      <c r="C1759" s="274"/>
      <c r="D1759" s="319"/>
      <c r="E1759" s="319"/>
      <c r="F1759" s="319"/>
    </row>
    <row r="1760" spans="3:6" ht="25.05" customHeight="1" x14ac:dyDescent="0.4">
      <c r="C1760" s="274"/>
      <c r="D1760" s="319"/>
      <c r="E1760" s="319"/>
      <c r="F1760" s="319"/>
    </row>
    <row r="1761" spans="3:6" ht="25.05" customHeight="1" x14ac:dyDescent="0.4">
      <c r="C1761" s="274"/>
      <c r="D1761" s="319"/>
      <c r="E1761" s="319"/>
      <c r="F1761" s="319"/>
    </row>
    <row r="1762" spans="3:6" ht="25.05" customHeight="1" x14ac:dyDescent="0.4">
      <c r="C1762" s="274"/>
      <c r="D1762" s="319"/>
      <c r="E1762" s="319"/>
      <c r="F1762" s="319"/>
    </row>
    <row r="1763" spans="3:6" ht="25.05" customHeight="1" x14ac:dyDescent="0.4">
      <c r="C1763" s="274"/>
      <c r="D1763" s="319"/>
      <c r="E1763" s="319"/>
      <c r="F1763" s="319"/>
    </row>
    <row r="1764" spans="3:6" ht="25.05" customHeight="1" x14ac:dyDescent="0.4">
      <c r="C1764" s="274"/>
      <c r="D1764" s="319"/>
      <c r="E1764" s="319"/>
      <c r="F1764" s="319"/>
    </row>
    <row r="1765" spans="3:6" ht="25.05" customHeight="1" x14ac:dyDescent="0.4">
      <c r="C1765" s="274"/>
      <c r="D1765" s="319"/>
      <c r="E1765" s="319"/>
      <c r="F1765" s="319"/>
    </row>
    <row r="1766" spans="3:6" ht="25.05" customHeight="1" x14ac:dyDescent="0.4">
      <c r="C1766" s="274"/>
      <c r="D1766" s="319"/>
      <c r="E1766" s="319"/>
      <c r="F1766" s="319"/>
    </row>
    <row r="1767" spans="3:6" ht="25.05" customHeight="1" x14ac:dyDescent="0.4">
      <c r="C1767" s="274"/>
      <c r="D1767" s="319"/>
      <c r="E1767" s="319"/>
      <c r="F1767" s="319"/>
    </row>
    <row r="1768" spans="3:6" ht="25.05" customHeight="1" x14ac:dyDescent="0.4">
      <c r="C1768" s="274"/>
      <c r="D1768" s="319"/>
      <c r="E1768" s="319"/>
      <c r="F1768" s="319"/>
    </row>
    <row r="1769" spans="3:6" ht="25.05" customHeight="1" x14ac:dyDescent="0.4">
      <c r="C1769" s="274"/>
      <c r="D1769" s="319"/>
      <c r="E1769" s="319"/>
      <c r="F1769" s="319"/>
    </row>
    <row r="1770" spans="3:6" ht="25.05" customHeight="1" x14ac:dyDescent="0.4">
      <c r="C1770" s="274"/>
      <c r="D1770" s="319"/>
      <c r="E1770" s="319"/>
      <c r="F1770" s="319"/>
    </row>
    <row r="1771" spans="3:6" ht="25.05" customHeight="1" x14ac:dyDescent="0.4">
      <c r="C1771" s="274"/>
      <c r="D1771" s="319"/>
      <c r="E1771" s="319"/>
      <c r="F1771" s="319"/>
    </row>
    <row r="1772" spans="3:6" ht="25.05" customHeight="1" x14ac:dyDescent="0.4">
      <c r="C1772" s="274"/>
      <c r="D1772" s="319"/>
      <c r="E1772" s="319"/>
      <c r="F1772" s="319"/>
    </row>
    <row r="1773" spans="3:6" ht="25.05" customHeight="1" x14ac:dyDescent="0.4">
      <c r="C1773" s="274"/>
      <c r="D1773" s="319"/>
      <c r="E1773" s="319"/>
      <c r="F1773" s="319"/>
    </row>
    <row r="1774" spans="3:6" ht="25.05" customHeight="1" x14ac:dyDescent="0.4">
      <c r="C1774" s="274"/>
      <c r="D1774" s="319"/>
      <c r="E1774" s="319"/>
      <c r="F1774" s="319"/>
    </row>
    <row r="1775" spans="3:6" ht="25.05" customHeight="1" x14ac:dyDescent="0.4">
      <c r="C1775" s="274"/>
      <c r="D1775" s="319"/>
      <c r="E1775" s="319"/>
      <c r="F1775" s="319"/>
    </row>
    <row r="1776" spans="3:6" ht="25.05" customHeight="1" x14ac:dyDescent="0.4">
      <c r="C1776" s="274"/>
      <c r="D1776" s="319"/>
      <c r="E1776" s="319"/>
      <c r="F1776" s="319"/>
    </row>
    <row r="1777" spans="3:6" ht="25.05" customHeight="1" x14ac:dyDescent="0.4">
      <c r="C1777" s="274"/>
      <c r="D1777" s="319"/>
      <c r="E1777" s="319"/>
      <c r="F1777" s="319"/>
    </row>
    <row r="1778" spans="3:6" ht="25.05" customHeight="1" x14ac:dyDescent="0.4">
      <c r="C1778" s="274"/>
      <c r="D1778" s="319"/>
      <c r="E1778" s="319"/>
      <c r="F1778" s="319"/>
    </row>
    <row r="1779" spans="3:6" ht="25.05" customHeight="1" x14ac:dyDescent="0.4">
      <c r="C1779" s="274"/>
      <c r="D1779" s="319"/>
      <c r="E1779" s="319"/>
      <c r="F1779" s="319"/>
    </row>
    <row r="1780" spans="3:6" ht="25.05" customHeight="1" x14ac:dyDescent="0.4">
      <c r="C1780" s="274"/>
      <c r="D1780" s="319"/>
      <c r="E1780" s="319"/>
      <c r="F1780" s="319"/>
    </row>
    <row r="1781" spans="3:6" ht="25.05" customHeight="1" x14ac:dyDescent="0.4">
      <c r="C1781" s="274"/>
      <c r="D1781" s="319"/>
      <c r="E1781" s="319"/>
      <c r="F1781" s="319"/>
    </row>
    <row r="1782" spans="3:6" ht="25.05" customHeight="1" x14ac:dyDescent="0.4">
      <c r="C1782" s="274"/>
      <c r="D1782" s="319"/>
      <c r="E1782" s="319"/>
      <c r="F1782" s="319"/>
    </row>
    <row r="1783" spans="3:6" ht="25.05" customHeight="1" x14ac:dyDescent="0.4">
      <c r="C1783" s="274"/>
      <c r="D1783" s="319"/>
      <c r="E1783" s="319"/>
      <c r="F1783" s="319"/>
    </row>
    <row r="1784" spans="3:6" ht="25.05" customHeight="1" x14ac:dyDescent="0.4">
      <c r="C1784" s="274"/>
      <c r="D1784" s="319"/>
      <c r="E1784" s="319"/>
      <c r="F1784" s="319"/>
    </row>
    <row r="1785" spans="3:6" ht="25.05" customHeight="1" x14ac:dyDescent="0.4">
      <c r="C1785" s="274"/>
      <c r="D1785" s="319"/>
      <c r="E1785" s="319"/>
      <c r="F1785" s="319"/>
    </row>
    <row r="1786" spans="3:6" ht="25.05" customHeight="1" x14ac:dyDescent="0.4">
      <c r="C1786" s="274"/>
      <c r="D1786" s="319"/>
      <c r="E1786" s="319"/>
      <c r="F1786" s="319"/>
    </row>
    <row r="1787" spans="3:6" ht="25.05" customHeight="1" x14ac:dyDescent="0.4">
      <c r="C1787" s="274"/>
      <c r="D1787" s="319"/>
      <c r="E1787" s="319"/>
      <c r="F1787" s="319"/>
    </row>
    <row r="1788" spans="3:6" ht="25.05" customHeight="1" x14ac:dyDescent="0.4">
      <c r="C1788" s="274"/>
      <c r="D1788" s="319"/>
      <c r="E1788" s="319"/>
      <c r="F1788" s="319"/>
    </row>
    <row r="1789" spans="3:6" ht="25.05" customHeight="1" x14ac:dyDescent="0.4">
      <c r="C1789" s="274"/>
      <c r="D1789" s="319"/>
      <c r="E1789" s="319"/>
      <c r="F1789" s="319"/>
    </row>
    <row r="1790" spans="3:6" ht="25.05" customHeight="1" x14ac:dyDescent="0.4">
      <c r="C1790" s="274"/>
      <c r="D1790" s="319"/>
      <c r="E1790" s="319"/>
      <c r="F1790" s="319"/>
    </row>
    <row r="1791" spans="3:6" ht="25.05" customHeight="1" x14ac:dyDescent="0.4">
      <c r="C1791" s="274"/>
      <c r="D1791" s="319"/>
      <c r="E1791" s="319"/>
      <c r="F1791" s="319"/>
    </row>
    <row r="1792" spans="3:6" ht="25.05" customHeight="1" x14ac:dyDescent="0.4">
      <c r="C1792" s="274"/>
      <c r="D1792" s="319"/>
      <c r="E1792" s="319"/>
      <c r="F1792" s="319"/>
    </row>
    <row r="1793" spans="3:6" ht="25.05" customHeight="1" x14ac:dyDescent="0.4">
      <c r="C1793" s="274"/>
      <c r="D1793" s="319"/>
      <c r="E1793" s="319"/>
      <c r="F1793" s="319"/>
    </row>
    <row r="1794" spans="3:6" ht="25.05" customHeight="1" x14ac:dyDescent="0.4">
      <c r="C1794" s="274"/>
      <c r="D1794" s="319"/>
      <c r="E1794" s="319"/>
      <c r="F1794" s="319"/>
    </row>
    <row r="1795" spans="3:6" ht="25.05" customHeight="1" x14ac:dyDescent="0.4">
      <c r="C1795" s="274"/>
      <c r="D1795" s="319"/>
      <c r="E1795" s="319"/>
      <c r="F1795" s="319"/>
    </row>
    <row r="1796" spans="3:6" ht="25.05" customHeight="1" x14ac:dyDescent="0.4">
      <c r="C1796" s="274"/>
      <c r="D1796" s="319"/>
      <c r="E1796" s="319"/>
      <c r="F1796" s="319"/>
    </row>
    <row r="1797" spans="3:6" ht="25.05" customHeight="1" x14ac:dyDescent="0.4">
      <c r="C1797" s="274"/>
      <c r="D1797" s="319"/>
      <c r="E1797" s="319"/>
      <c r="F1797" s="319"/>
    </row>
    <row r="1798" spans="3:6" ht="25.05" customHeight="1" x14ac:dyDescent="0.4">
      <c r="C1798" s="274"/>
      <c r="D1798" s="319"/>
      <c r="E1798" s="319"/>
      <c r="F1798" s="319"/>
    </row>
    <row r="1799" spans="3:6" ht="25.05" customHeight="1" x14ac:dyDescent="0.4">
      <c r="C1799" s="274"/>
      <c r="D1799" s="319"/>
      <c r="E1799" s="319"/>
      <c r="F1799" s="319"/>
    </row>
    <row r="1800" spans="3:6" ht="25.05" customHeight="1" x14ac:dyDescent="0.4">
      <c r="C1800" s="274"/>
      <c r="D1800" s="319"/>
      <c r="E1800" s="319"/>
      <c r="F1800" s="319"/>
    </row>
    <row r="1801" spans="3:6" ht="25.05" customHeight="1" x14ac:dyDescent="0.4">
      <c r="C1801" s="274"/>
      <c r="D1801" s="319"/>
      <c r="E1801" s="319"/>
      <c r="F1801" s="319"/>
    </row>
    <row r="1802" spans="3:6" ht="25.05" customHeight="1" x14ac:dyDescent="0.4">
      <c r="C1802" s="274"/>
      <c r="D1802" s="319"/>
      <c r="E1802" s="319"/>
      <c r="F1802" s="319"/>
    </row>
    <row r="1803" spans="3:6" ht="25.05" customHeight="1" x14ac:dyDescent="0.4">
      <c r="C1803" s="274"/>
      <c r="D1803" s="319"/>
      <c r="E1803" s="319"/>
      <c r="F1803" s="319"/>
    </row>
    <row r="1804" spans="3:6" ht="25.05" customHeight="1" x14ac:dyDescent="0.4">
      <c r="C1804" s="274"/>
      <c r="D1804" s="319"/>
      <c r="E1804" s="319"/>
      <c r="F1804" s="319"/>
    </row>
    <row r="1805" spans="3:6" ht="25.05" customHeight="1" x14ac:dyDescent="0.4">
      <c r="C1805" s="274"/>
      <c r="D1805" s="319"/>
      <c r="E1805" s="319"/>
      <c r="F1805" s="319"/>
    </row>
    <row r="1806" spans="3:6" ht="25.05" customHeight="1" x14ac:dyDescent="0.4">
      <c r="C1806" s="274"/>
      <c r="D1806" s="319"/>
      <c r="E1806" s="319"/>
      <c r="F1806" s="319"/>
    </row>
    <row r="1807" spans="3:6" ht="25.05" customHeight="1" x14ac:dyDescent="0.4">
      <c r="C1807" s="274"/>
      <c r="D1807" s="319"/>
      <c r="E1807" s="319"/>
      <c r="F1807" s="319"/>
    </row>
    <row r="1808" spans="3:6" ht="25.05" customHeight="1" x14ac:dyDescent="0.4">
      <c r="C1808" s="274"/>
      <c r="D1808" s="319"/>
      <c r="E1808" s="319"/>
      <c r="F1808" s="319"/>
    </row>
    <row r="1809" spans="3:6" ht="25.05" customHeight="1" x14ac:dyDescent="0.4">
      <c r="C1809" s="274"/>
      <c r="D1809" s="319"/>
      <c r="E1809" s="319"/>
      <c r="F1809" s="319"/>
    </row>
    <row r="1810" spans="3:6" ht="25.05" customHeight="1" x14ac:dyDescent="0.4">
      <c r="C1810" s="274"/>
      <c r="D1810" s="319"/>
      <c r="E1810" s="319"/>
      <c r="F1810" s="319"/>
    </row>
    <row r="1811" spans="3:6" ht="25.05" customHeight="1" x14ac:dyDescent="0.4">
      <c r="C1811" s="274"/>
      <c r="D1811" s="319"/>
      <c r="E1811" s="319"/>
      <c r="F1811" s="319"/>
    </row>
    <row r="1812" spans="3:6" ht="25.05" customHeight="1" x14ac:dyDescent="0.4">
      <c r="C1812" s="274"/>
      <c r="D1812" s="319"/>
      <c r="E1812" s="319"/>
      <c r="F1812" s="319"/>
    </row>
    <row r="1813" spans="3:6" ht="25.05" customHeight="1" x14ac:dyDescent="0.4">
      <c r="C1813" s="274"/>
      <c r="D1813" s="319"/>
      <c r="E1813" s="319"/>
      <c r="F1813" s="319"/>
    </row>
    <row r="1814" spans="3:6" ht="25.05" customHeight="1" x14ac:dyDescent="0.4">
      <c r="C1814" s="274"/>
      <c r="D1814" s="319"/>
      <c r="E1814" s="319"/>
      <c r="F1814" s="319"/>
    </row>
    <row r="1815" spans="3:6" ht="25.05" customHeight="1" x14ac:dyDescent="0.4">
      <c r="C1815" s="274"/>
      <c r="D1815" s="319"/>
      <c r="E1815" s="319"/>
      <c r="F1815" s="319"/>
    </row>
    <row r="1816" spans="3:6" ht="25.05" customHeight="1" x14ac:dyDescent="0.4">
      <c r="C1816" s="274"/>
      <c r="D1816" s="319"/>
      <c r="E1816" s="319"/>
      <c r="F1816" s="319"/>
    </row>
    <row r="1817" spans="3:6" ht="25.05" customHeight="1" x14ac:dyDescent="0.4">
      <c r="C1817" s="274"/>
      <c r="D1817" s="319"/>
      <c r="E1817" s="319"/>
      <c r="F1817" s="319"/>
    </row>
    <row r="1818" spans="3:6" ht="25.05" customHeight="1" x14ac:dyDescent="0.4">
      <c r="C1818" s="274"/>
      <c r="D1818" s="319"/>
      <c r="E1818" s="319"/>
      <c r="F1818" s="319"/>
    </row>
    <row r="1819" spans="3:6" ht="25.05" customHeight="1" x14ac:dyDescent="0.4">
      <c r="C1819" s="274"/>
      <c r="D1819" s="319"/>
      <c r="E1819" s="319"/>
      <c r="F1819" s="319"/>
    </row>
    <row r="1820" spans="3:6" ht="25.05" customHeight="1" x14ac:dyDescent="0.4">
      <c r="C1820" s="274"/>
      <c r="D1820" s="319"/>
      <c r="E1820" s="319"/>
      <c r="F1820" s="319"/>
    </row>
    <row r="1821" spans="3:6" ht="25.05" customHeight="1" x14ac:dyDescent="0.4">
      <c r="C1821" s="274"/>
      <c r="D1821" s="319"/>
      <c r="E1821" s="319"/>
      <c r="F1821" s="319"/>
    </row>
    <row r="1822" spans="3:6" ht="25.05" customHeight="1" x14ac:dyDescent="0.4">
      <c r="C1822" s="274"/>
      <c r="D1822" s="319"/>
      <c r="E1822" s="319"/>
      <c r="F1822" s="319"/>
    </row>
    <row r="1823" spans="3:6" ht="25.05" customHeight="1" x14ac:dyDescent="0.4">
      <c r="C1823" s="274"/>
      <c r="D1823" s="319"/>
      <c r="E1823" s="319"/>
      <c r="F1823" s="319"/>
    </row>
    <row r="1824" spans="3:6" ht="25.05" customHeight="1" x14ac:dyDescent="0.4">
      <c r="C1824" s="274"/>
      <c r="D1824" s="319"/>
      <c r="E1824" s="319"/>
      <c r="F1824" s="319"/>
    </row>
    <row r="1825" spans="3:6" ht="25.05" customHeight="1" x14ac:dyDescent="0.4">
      <c r="C1825" s="274"/>
      <c r="D1825" s="319"/>
      <c r="E1825" s="319"/>
      <c r="F1825" s="319"/>
    </row>
    <row r="1826" spans="3:6" ht="25.05" customHeight="1" x14ac:dyDescent="0.4">
      <c r="C1826" s="274"/>
      <c r="D1826" s="319"/>
      <c r="E1826" s="319"/>
      <c r="F1826" s="319"/>
    </row>
    <row r="1827" spans="3:6" ht="25.05" customHeight="1" x14ac:dyDescent="0.4">
      <c r="C1827" s="274"/>
      <c r="D1827" s="319"/>
      <c r="E1827" s="319"/>
      <c r="F1827" s="319"/>
    </row>
    <row r="1828" spans="3:6" ht="25.05" customHeight="1" x14ac:dyDescent="0.4">
      <c r="C1828" s="274"/>
      <c r="D1828" s="319"/>
      <c r="E1828" s="319"/>
      <c r="F1828" s="319"/>
    </row>
    <row r="1829" spans="3:6" ht="25.05" customHeight="1" x14ac:dyDescent="0.4">
      <c r="C1829" s="274"/>
      <c r="D1829" s="319"/>
      <c r="E1829" s="319"/>
      <c r="F1829" s="319"/>
    </row>
    <row r="1830" spans="3:6" ht="25.05" customHeight="1" x14ac:dyDescent="0.4">
      <c r="C1830" s="274"/>
      <c r="D1830" s="319"/>
      <c r="E1830" s="319"/>
      <c r="F1830" s="319"/>
    </row>
    <row r="1831" spans="3:6" ht="25.05" customHeight="1" x14ac:dyDescent="0.4">
      <c r="C1831" s="274"/>
      <c r="D1831" s="319"/>
      <c r="E1831" s="319"/>
      <c r="F1831" s="319"/>
    </row>
    <row r="1832" spans="3:6" ht="25.05" customHeight="1" x14ac:dyDescent="0.4">
      <c r="C1832" s="274"/>
      <c r="D1832" s="319"/>
      <c r="E1832" s="319"/>
      <c r="F1832" s="319"/>
    </row>
    <row r="1833" spans="3:6" ht="25.05" customHeight="1" x14ac:dyDescent="0.4">
      <c r="C1833" s="274"/>
      <c r="D1833" s="319"/>
      <c r="E1833" s="319"/>
      <c r="F1833" s="319"/>
    </row>
    <row r="1834" spans="3:6" ht="25.05" customHeight="1" x14ac:dyDescent="0.4">
      <c r="C1834" s="274"/>
      <c r="D1834" s="319"/>
      <c r="E1834" s="319"/>
      <c r="F1834" s="319"/>
    </row>
    <row r="1835" spans="3:6" ht="25.05" customHeight="1" x14ac:dyDescent="0.4">
      <c r="C1835" s="274"/>
      <c r="D1835" s="319"/>
      <c r="E1835" s="319"/>
      <c r="F1835" s="319"/>
    </row>
    <row r="1836" spans="3:6" ht="25.05" customHeight="1" x14ac:dyDescent="0.4">
      <c r="C1836" s="274"/>
      <c r="D1836" s="319"/>
      <c r="E1836" s="319"/>
      <c r="F1836" s="319"/>
    </row>
    <row r="1837" spans="3:6" ht="25.05" customHeight="1" x14ac:dyDescent="0.4">
      <c r="C1837" s="274"/>
      <c r="D1837" s="319"/>
      <c r="E1837" s="319"/>
      <c r="F1837" s="319"/>
    </row>
    <row r="1838" spans="3:6" ht="25.05" customHeight="1" x14ac:dyDescent="0.4">
      <c r="C1838" s="274"/>
      <c r="D1838" s="319"/>
      <c r="E1838" s="319"/>
      <c r="F1838" s="319"/>
    </row>
    <row r="1839" spans="3:6" ht="25.05" customHeight="1" x14ac:dyDescent="0.4">
      <c r="C1839" s="274"/>
      <c r="D1839" s="319"/>
      <c r="E1839" s="319"/>
      <c r="F1839" s="319"/>
    </row>
    <row r="1840" spans="3:6" ht="25.05" customHeight="1" x14ac:dyDescent="0.4">
      <c r="C1840" s="274"/>
      <c r="D1840" s="319"/>
      <c r="E1840" s="319"/>
      <c r="F1840" s="319"/>
    </row>
    <row r="1841" spans="3:6" ht="25.05" customHeight="1" x14ac:dyDescent="0.4">
      <c r="C1841" s="274"/>
      <c r="D1841" s="319"/>
      <c r="E1841" s="319"/>
      <c r="F1841" s="319"/>
    </row>
    <row r="1842" spans="3:6" ht="25.05" customHeight="1" x14ac:dyDescent="0.4">
      <c r="C1842" s="274"/>
      <c r="D1842" s="319"/>
      <c r="E1842" s="319"/>
      <c r="F1842" s="319"/>
    </row>
    <row r="1843" spans="3:6" ht="25.05" customHeight="1" x14ac:dyDescent="0.4">
      <c r="C1843" s="274"/>
      <c r="D1843" s="319"/>
      <c r="E1843" s="319"/>
      <c r="F1843" s="319"/>
    </row>
    <row r="1844" spans="3:6" ht="25.05" customHeight="1" x14ac:dyDescent="0.4">
      <c r="C1844" s="274"/>
      <c r="D1844" s="319"/>
      <c r="E1844" s="319"/>
      <c r="F1844" s="319"/>
    </row>
    <row r="1845" spans="3:6" ht="25.05" customHeight="1" x14ac:dyDescent="0.4">
      <c r="C1845" s="274"/>
      <c r="D1845" s="319"/>
      <c r="E1845" s="319"/>
      <c r="F1845" s="319"/>
    </row>
    <row r="1846" spans="3:6" ht="25.05" customHeight="1" x14ac:dyDescent="0.4">
      <c r="C1846" s="274"/>
      <c r="D1846" s="319"/>
      <c r="E1846" s="319"/>
      <c r="F1846" s="319"/>
    </row>
    <row r="1847" spans="3:6" ht="25.05" customHeight="1" x14ac:dyDescent="0.4">
      <c r="C1847" s="274"/>
      <c r="D1847" s="319"/>
      <c r="E1847" s="319"/>
      <c r="F1847" s="319"/>
    </row>
    <row r="1848" spans="3:6" ht="25.05" customHeight="1" x14ac:dyDescent="0.4">
      <c r="C1848" s="274"/>
      <c r="D1848" s="319"/>
      <c r="E1848" s="319"/>
      <c r="F1848" s="319"/>
    </row>
    <row r="1849" spans="3:6" ht="25.05" customHeight="1" x14ac:dyDescent="0.4">
      <c r="C1849" s="274"/>
      <c r="D1849" s="319"/>
      <c r="E1849" s="319"/>
      <c r="F1849" s="319"/>
    </row>
    <row r="1850" spans="3:6" ht="25.05" customHeight="1" x14ac:dyDescent="0.4">
      <c r="C1850" s="274"/>
      <c r="D1850" s="319"/>
      <c r="E1850" s="319"/>
      <c r="F1850" s="319"/>
    </row>
    <row r="1851" spans="3:6" ht="25.05" customHeight="1" x14ac:dyDescent="0.4">
      <c r="C1851" s="274"/>
      <c r="D1851" s="319"/>
      <c r="E1851" s="319"/>
      <c r="F1851" s="319"/>
    </row>
    <row r="1852" spans="3:6" ht="25.05" customHeight="1" x14ac:dyDescent="0.4">
      <c r="C1852" s="274"/>
      <c r="D1852" s="319"/>
      <c r="E1852" s="319"/>
      <c r="F1852" s="319"/>
    </row>
    <row r="1853" spans="3:6" ht="25.05" customHeight="1" x14ac:dyDescent="0.4">
      <c r="C1853" s="274"/>
      <c r="D1853" s="319"/>
      <c r="E1853" s="319"/>
      <c r="F1853" s="319"/>
    </row>
    <row r="1854" spans="3:6" ht="25.05" customHeight="1" x14ac:dyDescent="0.4">
      <c r="C1854" s="274"/>
      <c r="D1854" s="319"/>
      <c r="E1854" s="319"/>
      <c r="F1854" s="319"/>
    </row>
    <row r="1855" spans="3:6" ht="25.05" customHeight="1" x14ac:dyDescent="0.4">
      <c r="C1855" s="274"/>
      <c r="D1855" s="319"/>
      <c r="E1855" s="319"/>
      <c r="F1855" s="319"/>
    </row>
    <row r="1856" spans="3:6" ht="25.05" customHeight="1" x14ac:dyDescent="0.4">
      <c r="C1856" s="274"/>
      <c r="D1856" s="319"/>
      <c r="E1856" s="319"/>
      <c r="F1856" s="319"/>
    </row>
    <row r="1857" spans="3:6" ht="25.05" customHeight="1" x14ac:dyDescent="0.4">
      <c r="C1857" s="274"/>
      <c r="D1857" s="319"/>
      <c r="E1857" s="319"/>
      <c r="F1857" s="319"/>
    </row>
    <row r="1858" spans="3:6" ht="25.05" customHeight="1" x14ac:dyDescent="0.4">
      <c r="C1858" s="274"/>
      <c r="D1858" s="319"/>
      <c r="E1858" s="319"/>
      <c r="F1858" s="319"/>
    </row>
    <row r="1859" spans="3:6" ht="25.05" customHeight="1" x14ac:dyDescent="0.4">
      <c r="C1859" s="274"/>
      <c r="D1859" s="319"/>
      <c r="E1859" s="319"/>
      <c r="F1859" s="319"/>
    </row>
    <row r="1860" spans="3:6" ht="25.05" customHeight="1" x14ac:dyDescent="0.4">
      <c r="C1860" s="274"/>
      <c r="D1860" s="319"/>
      <c r="E1860" s="319"/>
      <c r="F1860" s="319"/>
    </row>
    <row r="1861" spans="3:6" ht="25.05" customHeight="1" x14ac:dyDescent="0.4">
      <c r="C1861" s="274"/>
      <c r="D1861" s="319"/>
      <c r="E1861" s="319"/>
      <c r="F1861" s="319"/>
    </row>
    <row r="1862" spans="3:6" ht="25.05" customHeight="1" x14ac:dyDescent="0.4">
      <c r="C1862" s="274"/>
      <c r="D1862" s="319"/>
      <c r="E1862" s="319"/>
      <c r="F1862" s="319"/>
    </row>
    <row r="1863" spans="3:6" ht="25.05" customHeight="1" x14ac:dyDescent="0.4">
      <c r="C1863" s="274"/>
      <c r="D1863" s="319"/>
      <c r="E1863" s="319"/>
      <c r="F1863" s="319"/>
    </row>
    <row r="1864" spans="3:6" ht="25.05" customHeight="1" x14ac:dyDescent="0.4">
      <c r="C1864" s="274"/>
      <c r="D1864" s="319"/>
      <c r="E1864" s="319"/>
      <c r="F1864" s="319"/>
    </row>
    <row r="1865" spans="3:6" ht="25.05" customHeight="1" x14ac:dyDescent="0.4">
      <c r="C1865" s="274"/>
      <c r="D1865" s="319"/>
      <c r="E1865" s="319"/>
      <c r="F1865" s="319"/>
    </row>
    <row r="1866" spans="3:6" ht="25.05" customHeight="1" x14ac:dyDescent="0.4">
      <c r="C1866" s="274"/>
      <c r="D1866" s="319"/>
      <c r="E1866" s="319"/>
      <c r="F1866" s="319"/>
    </row>
    <row r="1867" spans="3:6" ht="25.05" customHeight="1" x14ac:dyDescent="0.4">
      <c r="C1867" s="274"/>
      <c r="D1867" s="319"/>
      <c r="E1867" s="319"/>
      <c r="F1867" s="319"/>
    </row>
    <row r="1868" spans="3:6" ht="25.05" customHeight="1" x14ac:dyDescent="0.4">
      <c r="C1868" s="274"/>
      <c r="D1868" s="319"/>
      <c r="E1868" s="319"/>
      <c r="F1868" s="319"/>
    </row>
    <row r="1869" spans="3:6" ht="25.05" customHeight="1" x14ac:dyDescent="0.4">
      <c r="C1869" s="274"/>
      <c r="D1869" s="319"/>
      <c r="E1869" s="319"/>
      <c r="F1869" s="319"/>
    </row>
    <row r="1870" spans="3:6" ht="25.05" customHeight="1" x14ac:dyDescent="0.4">
      <c r="C1870" s="274"/>
      <c r="D1870" s="319"/>
      <c r="E1870" s="319"/>
      <c r="F1870" s="319"/>
    </row>
    <row r="1871" spans="3:6" ht="25.05" customHeight="1" x14ac:dyDescent="0.4">
      <c r="C1871" s="274"/>
      <c r="D1871" s="319"/>
      <c r="E1871" s="319"/>
      <c r="F1871" s="319"/>
    </row>
    <row r="1872" spans="3:6" ht="25.05" customHeight="1" x14ac:dyDescent="0.4">
      <c r="C1872" s="274"/>
      <c r="D1872" s="319"/>
      <c r="E1872" s="319"/>
      <c r="F1872" s="319"/>
    </row>
    <row r="1873" spans="3:6" ht="25.05" customHeight="1" x14ac:dyDescent="0.4">
      <c r="C1873" s="274"/>
      <c r="D1873" s="319"/>
      <c r="E1873" s="319"/>
      <c r="F1873" s="319"/>
    </row>
    <row r="1874" spans="3:6" ht="25.05" customHeight="1" x14ac:dyDescent="0.4">
      <c r="C1874" s="274"/>
      <c r="D1874" s="319"/>
      <c r="E1874" s="319"/>
      <c r="F1874" s="319"/>
    </row>
    <row r="1875" spans="3:6" ht="25.05" customHeight="1" x14ac:dyDescent="0.4">
      <c r="C1875" s="274"/>
      <c r="D1875" s="319"/>
      <c r="E1875" s="319"/>
      <c r="F1875" s="319"/>
    </row>
    <row r="1876" spans="3:6" ht="25.05" customHeight="1" x14ac:dyDescent="0.4">
      <c r="C1876" s="274"/>
      <c r="D1876" s="319"/>
      <c r="E1876" s="319"/>
      <c r="F1876" s="319"/>
    </row>
    <row r="1877" spans="3:6" ht="25.05" customHeight="1" x14ac:dyDescent="0.4">
      <c r="C1877" s="274"/>
      <c r="D1877" s="319"/>
      <c r="E1877" s="319"/>
      <c r="F1877" s="319"/>
    </row>
    <row r="1878" spans="3:6" ht="25.05" customHeight="1" x14ac:dyDescent="0.4">
      <c r="C1878" s="274"/>
      <c r="D1878" s="319"/>
      <c r="E1878" s="319"/>
      <c r="F1878" s="319"/>
    </row>
    <row r="1879" spans="3:6" ht="25.05" customHeight="1" x14ac:dyDescent="0.4">
      <c r="C1879" s="274"/>
      <c r="D1879" s="319"/>
      <c r="E1879" s="319"/>
      <c r="F1879" s="319"/>
    </row>
    <row r="1880" spans="3:6" ht="25.05" customHeight="1" x14ac:dyDescent="0.4">
      <c r="C1880" s="274"/>
      <c r="D1880" s="319"/>
      <c r="E1880" s="319"/>
      <c r="F1880" s="319"/>
    </row>
    <row r="1881" spans="3:6" ht="25.05" customHeight="1" x14ac:dyDescent="0.4">
      <c r="C1881" s="274"/>
      <c r="D1881" s="319"/>
      <c r="E1881" s="319"/>
      <c r="F1881" s="319"/>
    </row>
    <row r="1882" spans="3:6" ht="25.05" customHeight="1" x14ac:dyDescent="0.4">
      <c r="C1882" s="274"/>
      <c r="D1882" s="319"/>
      <c r="E1882" s="319"/>
      <c r="F1882" s="319"/>
    </row>
    <row r="1883" spans="3:6" ht="25.05" customHeight="1" x14ac:dyDescent="0.4">
      <c r="C1883" s="274"/>
      <c r="D1883" s="319"/>
      <c r="E1883" s="319"/>
      <c r="F1883" s="319"/>
    </row>
    <row r="1884" spans="3:6" ht="25.05" customHeight="1" x14ac:dyDescent="0.4">
      <c r="C1884" s="274"/>
      <c r="D1884" s="319"/>
      <c r="E1884" s="319"/>
      <c r="F1884" s="319"/>
    </row>
    <row r="1885" spans="3:6" ht="25.05" customHeight="1" x14ac:dyDescent="0.4">
      <c r="C1885" s="274"/>
      <c r="D1885" s="319"/>
      <c r="E1885" s="319"/>
      <c r="F1885" s="319"/>
    </row>
    <row r="1886" spans="3:6" ht="25.05" customHeight="1" x14ac:dyDescent="0.4">
      <c r="C1886" s="274"/>
      <c r="D1886" s="319"/>
      <c r="E1886" s="319"/>
      <c r="F1886" s="319"/>
    </row>
    <row r="1887" spans="3:6" ht="25.05" customHeight="1" x14ac:dyDescent="0.4">
      <c r="C1887" s="274"/>
      <c r="D1887" s="319"/>
      <c r="E1887" s="319"/>
      <c r="F1887" s="319"/>
    </row>
    <row r="1888" spans="3:6" ht="25.05" customHeight="1" x14ac:dyDescent="0.4">
      <c r="C1888" s="274"/>
      <c r="D1888" s="319"/>
      <c r="E1888" s="319"/>
      <c r="F1888" s="319"/>
    </row>
    <row r="1889" spans="3:6" ht="25.05" customHeight="1" x14ac:dyDescent="0.4">
      <c r="C1889" s="274"/>
      <c r="D1889" s="319"/>
      <c r="E1889" s="319"/>
      <c r="F1889" s="319"/>
    </row>
    <row r="1890" spans="3:6" ht="25.05" customHeight="1" x14ac:dyDescent="0.4">
      <c r="C1890" s="274"/>
      <c r="D1890" s="319"/>
      <c r="E1890" s="319"/>
      <c r="F1890" s="319"/>
    </row>
    <row r="1891" spans="3:6" ht="25.05" customHeight="1" x14ac:dyDescent="0.4">
      <c r="C1891" s="274"/>
      <c r="D1891" s="319"/>
      <c r="E1891" s="319"/>
      <c r="F1891" s="319"/>
    </row>
    <row r="1892" spans="3:6" ht="25.05" customHeight="1" x14ac:dyDescent="0.4">
      <c r="C1892" s="274"/>
      <c r="D1892" s="319"/>
      <c r="E1892" s="319"/>
      <c r="F1892" s="319"/>
    </row>
    <row r="1893" spans="3:6" ht="25.05" customHeight="1" x14ac:dyDescent="0.4">
      <c r="C1893" s="274"/>
      <c r="D1893" s="319"/>
      <c r="E1893" s="319"/>
      <c r="F1893" s="319"/>
    </row>
    <row r="1894" spans="3:6" ht="25.05" customHeight="1" x14ac:dyDescent="0.4">
      <c r="C1894" s="274"/>
      <c r="D1894" s="319"/>
      <c r="E1894" s="319"/>
      <c r="F1894" s="319"/>
    </row>
    <row r="1895" spans="3:6" ht="25.05" customHeight="1" x14ac:dyDescent="0.4">
      <c r="C1895" s="274"/>
      <c r="D1895" s="319"/>
      <c r="E1895" s="319"/>
      <c r="F1895" s="319"/>
    </row>
    <row r="1896" spans="3:6" ht="25.05" customHeight="1" x14ac:dyDescent="0.4">
      <c r="C1896" s="274"/>
      <c r="D1896" s="319"/>
      <c r="E1896" s="319"/>
      <c r="F1896" s="319"/>
    </row>
    <row r="1897" spans="3:6" ht="25.05" customHeight="1" x14ac:dyDescent="0.4">
      <c r="C1897" s="274"/>
      <c r="D1897" s="319"/>
      <c r="E1897" s="319"/>
      <c r="F1897" s="319"/>
    </row>
    <row r="1898" spans="3:6" ht="25.05" customHeight="1" x14ac:dyDescent="0.4">
      <c r="C1898" s="274"/>
      <c r="D1898" s="319"/>
      <c r="E1898" s="319"/>
      <c r="F1898" s="319"/>
    </row>
    <row r="1899" spans="3:6" ht="25.05" customHeight="1" x14ac:dyDescent="0.4">
      <c r="C1899" s="274"/>
      <c r="D1899" s="319"/>
      <c r="E1899" s="319"/>
      <c r="F1899" s="319"/>
    </row>
    <row r="1900" spans="3:6" ht="25.05" customHeight="1" x14ac:dyDescent="0.4">
      <c r="C1900" s="274"/>
      <c r="D1900" s="319"/>
      <c r="E1900" s="319"/>
      <c r="F1900" s="319"/>
    </row>
    <row r="1901" spans="3:6" ht="25.05" customHeight="1" x14ac:dyDescent="0.4">
      <c r="C1901" s="274"/>
      <c r="D1901" s="319"/>
      <c r="E1901" s="319"/>
      <c r="F1901" s="319"/>
    </row>
    <row r="1902" spans="3:6" ht="25.05" customHeight="1" x14ac:dyDescent="0.4">
      <c r="C1902" s="274"/>
      <c r="D1902" s="319"/>
      <c r="E1902" s="319"/>
      <c r="F1902" s="319"/>
    </row>
    <row r="1903" spans="3:6" ht="25.05" customHeight="1" x14ac:dyDescent="0.4">
      <c r="C1903" s="274"/>
      <c r="D1903" s="319"/>
      <c r="E1903" s="319"/>
      <c r="F1903" s="319"/>
    </row>
    <row r="1904" spans="3:6" ht="25.05" customHeight="1" x14ac:dyDescent="0.4">
      <c r="C1904" s="274"/>
      <c r="D1904" s="319"/>
      <c r="E1904" s="319"/>
      <c r="F1904" s="319"/>
    </row>
    <row r="1905" spans="3:6" ht="25.05" customHeight="1" x14ac:dyDescent="0.4">
      <c r="C1905" s="274"/>
      <c r="D1905" s="319"/>
      <c r="E1905" s="319"/>
      <c r="F1905" s="319"/>
    </row>
    <row r="1906" spans="3:6" ht="25.05" customHeight="1" x14ac:dyDescent="0.4">
      <c r="C1906" s="274"/>
      <c r="D1906" s="319"/>
      <c r="E1906" s="319"/>
      <c r="F1906" s="319"/>
    </row>
    <row r="1907" spans="3:6" ht="25.05" customHeight="1" x14ac:dyDescent="0.4">
      <c r="C1907" s="274"/>
      <c r="D1907" s="319"/>
      <c r="E1907" s="319"/>
      <c r="F1907" s="319"/>
    </row>
    <row r="1908" spans="3:6" ht="25.05" customHeight="1" x14ac:dyDescent="0.4">
      <c r="C1908" s="274"/>
      <c r="D1908" s="319"/>
      <c r="E1908" s="319"/>
      <c r="F1908" s="319"/>
    </row>
    <row r="1909" spans="3:6" ht="25.05" customHeight="1" x14ac:dyDescent="0.4">
      <c r="C1909" s="274"/>
      <c r="D1909" s="319"/>
      <c r="E1909" s="319"/>
      <c r="F1909" s="319"/>
    </row>
    <row r="1910" spans="3:6" ht="25.05" customHeight="1" x14ac:dyDescent="0.4">
      <c r="C1910" s="274"/>
      <c r="D1910" s="319"/>
      <c r="E1910" s="319"/>
      <c r="F1910" s="319"/>
    </row>
    <row r="1911" spans="3:6" ht="25.05" customHeight="1" x14ac:dyDescent="0.4">
      <c r="C1911" s="274"/>
      <c r="D1911" s="319"/>
      <c r="E1911" s="319"/>
      <c r="F1911" s="319"/>
    </row>
    <row r="1912" spans="3:6" ht="25.05" customHeight="1" x14ac:dyDescent="0.4">
      <c r="C1912" s="274"/>
      <c r="D1912" s="319"/>
      <c r="E1912" s="319"/>
      <c r="F1912" s="319"/>
    </row>
    <row r="1913" spans="3:6" ht="25.05" customHeight="1" x14ac:dyDescent="0.4">
      <c r="C1913" s="274"/>
      <c r="D1913" s="319"/>
      <c r="E1913" s="319"/>
      <c r="F1913" s="319"/>
    </row>
    <row r="1914" spans="3:6" ht="25.05" customHeight="1" x14ac:dyDescent="0.4">
      <c r="C1914" s="274"/>
      <c r="D1914" s="319"/>
      <c r="E1914" s="319"/>
      <c r="F1914" s="319"/>
    </row>
    <row r="1915" spans="3:6" ht="25.05" customHeight="1" x14ac:dyDescent="0.4">
      <c r="C1915" s="274"/>
      <c r="D1915" s="319"/>
      <c r="E1915" s="319"/>
      <c r="F1915" s="319"/>
    </row>
    <row r="1916" spans="3:6" ht="25.05" customHeight="1" x14ac:dyDescent="0.4">
      <c r="C1916" s="274"/>
      <c r="D1916" s="319"/>
      <c r="E1916" s="319"/>
      <c r="F1916" s="319"/>
    </row>
    <row r="1917" spans="3:6" ht="25.05" customHeight="1" x14ac:dyDescent="0.4">
      <c r="C1917" s="274"/>
      <c r="D1917" s="319"/>
      <c r="E1917" s="319"/>
      <c r="F1917" s="319"/>
    </row>
    <row r="1918" spans="3:6" ht="25.05" customHeight="1" x14ac:dyDescent="0.4">
      <c r="C1918" s="274"/>
      <c r="D1918" s="319"/>
      <c r="E1918" s="319"/>
      <c r="F1918" s="319"/>
    </row>
    <row r="1919" spans="3:6" ht="25.05" customHeight="1" x14ac:dyDescent="0.4">
      <c r="C1919" s="274"/>
      <c r="D1919" s="319"/>
      <c r="E1919" s="319"/>
      <c r="F1919" s="319"/>
    </row>
    <row r="1920" spans="3:6" ht="25.05" customHeight="1" x14ac:dyDescent="0.4">
      <c r="C1920" s="274"/>
      <c r="D1920" s="319"/>
      <c r="E1920" s="319"/>
      <c r="F1920" s="319"/>
    </row>
    <row r="1921" spans="3:6" ht="25.05" customHeight="1" x14ac:dyDescent="0.4">
      <c r="C1921" s="274"/>
      <c r="D1921" s="319"/>
      <c r="E1921" s="319"/>
      <c r="F1921" s="319"/>
    </row>
    <row r="1922" spans="3:6" ht="25.05" customHeight="1" x14ac:dyDescent="0.4">
      <c r="C1922" s="274"/>
      <c r="D1922" s="319"/>
      <c r="E1922" s="319"/>
      <c r="F1922" s="319"/>
    </row>
    <row r="1923" spans="3:6" ht="25.05" customHeight="1" x14ac:dyDescent="0.4">
      <c r="C1923" s="274"/>
      <c r="D1923" s="319"/>
      <c r="E1923" s="319"/>
      <c r="F1923" s="319"/>
    </row>
    <row r="1924" spans="3:6" ht="25.05" customHeight="1" x14ac:dyDescent="0.4">
      <c r="C1924" s="274"/>
      <c r="D1924" s="319"/>
      <c r="E1924" s="319"/>
      <c r="F1924" s="319"/>
    </row>
    <row r="1925" spans="3:6" ht="25.05" customHeight="1" x14ac:dyDescent="0.4">
      <c r="C1925" s="274"/>
      <c r="D1925" s="319"/>
      <c r="E1925" s="319"/>
      <c r="F1925" s="319"/>
    </row>
    <row r="1926" spans="3:6" ht="25.05" customHeight="1" x14ac:dyDescent="0.4">
      <c r="C1926" s="274"/>
      <c r="D1926" s="319"/>
      <c r="E1926" s="319"/>
      <c r="F1926" s="319"/>
    </row>
    <row r="1927" spans="3:6" ht="25.05" customHeight="1" x14ac:dyDescent="0.4">
      <c r="C1927" s="274"/>
      <c r="D1927" s="319"/>
      <c r="E1927" s="319"/>
      <c r="F1927" s="319"/>
    </row>
    <row r="1928" spans="3:6" ht="25.05" customHeight="1" x14ac:dyDescent="0.4">
      <c r="C1928" s="274"/>
      <c r="D1928" s="319"/>
      <c r="E1928" s="319"/>
      <c r="F1928" s="319"/>
    </row>
    <row r="1929" spans="3:6" ht="25.05" customHeight="1" x14ac:dyDescent="0.4">
      <c r="C1929" s="274"/>
      <c r="D1929" s="319"/>
      <c r="E1929" s="319"/>
      <c r="F1929" s="319"/>
    </row>
    <row r="1930" spans="3:6" ht="25.05" customHeight="1" x14ac:dyDescent="0.4">
      <c r="C1930" s="274"/>
      <c r="D1930" s="319"/>
      <c r="E1930" s="319"/>
      <c r="F1930" s="319"/>
    </row>
    <row r="1931" spans="3:6" ht="25.05" customHeight="1" x14ac:dyDescent="0.4">
      <c r="C1931" s="274"/>
      <c r="D1931" s="319"/>
      <c r="E1931" s="319"/>
      <c r="F1931" s="319"/>
    </row>
    <row r="1932" spans="3:6" ht="25.05" customHeight="1" x14ac:dyDescent="0.4">
      <c r="C1932" s="274"/>
      <c r="D1932" s="319"/>
      <c r="E1932" s="319"/>
      <c r="F1932" s="319"/>
    </row>
    <row r="1933" spans="3:6" ht="25.05" customHeight="1" x14ac:dyDescent="0.4">
      <c r="C1933" s="274"/>
      <c r="D1933" s="319"/>
      <c r="E1933" s="319"/>
      <c r="F1933" s="319"/>
    </row>
    <row r="1934" spans="3:6" ht="25.05" customHeight="1" x14ac:dyDescent="0.4">
      <c r="C1934" s="274"/>
      <c r="D1934" s="319"/>
      <c r="E1934" s="319"/>
      <c r="F1934" s="319"/>
    </row>
    <row r="1935" spans="3:6" ht="25.05" customHeight="1" x14ac:dyDescent="0.4">
      <c r="C1935" s="274"/>
      <c r="D1935" s="319"/>
      <c r="E1935" s="319"/>
      <c r="F1935" s="319"/>
    </row>
    <row r="1936" spans="3:6" ht="25.05" customHeight="1" x14ac:dyDescent="0.4">
      <c r="C1936" s="274"/>
      <c r="D1936" s="319"/>
      <c r="E1936" s="319"/>
      <c r="F1936" s="319"/>
    </row>
    <row r="1937" spans="3:6" ht="25.05" customHeight="1" x14ac:dyDescent="0.4">
      <c r="C1937" s="274"/>
      <c r="D1937" s="319"/>
      <c r="E1937" s="319"/>
      <c r="F1937" s="319"/>
    </row>
    <row r="1938" spans="3:6" ht="25.05" customHeight="1" x14ac:dyDescent="0.4">
      <c r="C1938" s="274"/>
      <c r="D1938" s="319"/>
      <c r="E1938" s="319"/>
      <c r="F1938" s="319"/>
    </row>
    <row r="1939" spans="3:6" ht="25.05" customHeight="1" x14ac:dyDescent="0.4">
      <c r="C1939" s="274"/>
      <c r="D1939" s="319"/>
      <c r="E1939" s="319"/>
      <c r="F1939" s="319"/>
    </row>
    <row r="1940" spans="3:6" ht="25.05" customHeight="1" x14ac:dyDescent="0.4">
      <c r="C1940" s="274"/>
      <c r="D1940" s="319"/>
      <c r="E1940" s="319"/>
      <c r="F1940" s="319"/>
    </row>
    <row r="1941" spans="3:6" ht="25.05" customHeight="1" x14ac:dyDescent="0.4">
      <c r="C1941" s="274"/>
      <c r="D1941" s="319"/>
      <c r="E1941" s="319"/>
      <c r="F1941" s="319"/>
    </row>
    <row r="1942" spans="3:6" ht="25.05" customHeight="1" x14ac:dyDescent="0.4">
      <c r="C1942" s="274"/>
      <c r="D1942" s="319"/>
      <c r="E1942" s="319"/>
      <c r="F1942" s="319"/>
    </row>
    <row r="1943" spans="3:6" ht="25.05" customHeight="1" x14ac:dyDescent="0.4">
      <c r="C1943" s="274"/>
      <c r="D1943" s="319"/>
      <c r="E1943" s="319"/>
      <c r="F1943" s="319"/>
    </row>
    <row r="1944" spans="3:6" ht="25.05" customHeight="1" x14ac:dyDescent="0.4">
      <c r="C1944" s="274"/>
      <c r="D1944" s="319"/>
      <c r="E1944" s="319"/>
      <c r="F1944" s="319"/>
    </row>
    <row r="1945" spans="3:6" ht="25.05" customHeight="1" x14ac:dyDescent="0.4">
      <c r="C1945" s="274"/>
      <c r="D1945" s="319"/>
      <c r="E1945" s="319"/>
      <c r="F1945" s="319"/>
    </row>
    <row r="1946" spans="3:6" ht="25.05" customHeight="1" x14ac:dyDescent="0.4">
      <c r="C1946" s="274"/>
      <c r="D1946" s="319"/>
      <c r="E1946" s="319"/>
      <c r="F1946" s="319"/>
    </row>
    <row r="1947" spans="3:6" ht="25.05" customHeight="1" x14ac:dyDescent="0.4">
      <c r="C1947" s="274"/>
      <c r="D1947" s="319"/>
      <c r="E1947" s="319"/>
      <c r="F1947" s="319"/>
    </row>
    <row r="1948" spans="3:6" ht="25.05" customHeight="1" x14ac:dyDescent="0.4">
      <c r="C1948" s="274"/>
      <c r="D1948" s="319"/>
      <c r="E1948" s="319"/>
      <c r="F1948" s="319"/>
    </row>
    <row r="1949" spans="3:6" ht="25.05" customHeight="1" x14ac:dyDescent="0.4">
      <c r="C1949" s="274"/>
      <c r="D1949" s="319"/>
      <c r="E1949" s="319"/>
      <c r="F1949" s="319"/>
    </row>
    <row r="1950" spans="3:6" ht="25.05" customHeight="1" x14ac:dyDescent="0.4">
      <c r="C1950" s="274"/>
      <c r="D1950" s="319"/>
      <c r="E1950" s="319"/>
      <c r="F1950" s="319"/>
    </row>
    <row r="1951" spans="3:6" ht="25.05" customHeight="1" x14ac:dyDescent="0.4">
      <c r="C1951" s="274"/>
      <c r="D1951" s="319"/>
      <c r="E1951" s="319"/>
      <c r="F1951" s="319"/>
    </row>
  </sheetData>
  <mergeCells count="213">
    <mergeCell ref="H1:M1"/>
    <mergeCell ref="H2:M2"/>
    <mergeCell ref="H9:M9"/>
    <mergeCell ref="A10:M10"/>
    <mergeCell ref="A11:M11"/>
    <mergeCell ref="A12:M12"/>
    <mergeCell ref="B21:G21"/>
    <mergeCell ref="B22:G22"/>
    <mergeCell ref="B23:G23"/>
    <mergeCell ref="B24:G24"/>
    <mergeCell ref="B25:G25"/>
    <mergeCell ref="B26:G26"/>
    <mergeCell ref="H14:J14"/>
    <mergeCell ref="B16:M16"/>
    <mergeCell ref="B17:G17"/>
    <mergeCell ref="B18:G18"/>
    <mergeCell ref="B19:G19"/>
    <mergeCell ref="B20:G20"/>
    <mergeCell ref="B32:G32"/>
    <mergeCell ref="B33:G33"/>
    <mergeCell ref="C34:G34"/>
    <mergeCell ref="D35:G35"/>
    <mergeCell ref="C37:G37"/>
    <mergeCell ref="B39:G39"/>
    <mergeCell ref="A28:A31"/>
    <mergeCell ref="B28:M28"/>
    <mergeCell ref="B29:G31"/>
    <mergeCell ref="H29:M29"/>
    <mergeCell ref="H30:J30"/>
    <mergeCell ref="K30:M30"/>
    <mergeCell ref="B47:G47"/>
    <mergeCell ref="C48:G48"/>
    <mergeCell ref="D49:G49"/>
    <mergeCell ref="C50:G50"/>
    <mergeCell ref="D51:G51"/>
    <mergeCell ref="C52:G52"/>
    <mergeCell ref="C40:G40"/>
    <mergeCell ref="D41:G41"/>
    <mergeCell ref="A43:A46"/>
    <mergeCell ref="B43:M43"/>
    <mergeCell ref="B44:G46"/>
    <mergeCell ref="H44:M44"/>
    <mergeCell ref="H45:J45"/>
    <mergeCell ref="K45:M45"/>
    <mergeCell ref="E59:G59"/>
    <mergeCell ref="E60:G60"/>
    <mergeCell ref="E61:G61"/>
    <mergeCell ref="E62:G62"/>
    <mergeCell ref="C63:G63"/>
    <mergeCell ref="D64:G64"/>
    <mergeCell ref="D53:G53"/>
    <mergeCell ref="E54:G54"/>
    <mergeCell ref="E55:G55"/>
    <mergeCell ref="E56:G56"/>
    <mergeCell ref="E57:G57"/>
    <mergeCell ref="D58:G58"/>
    <mergeCell ref="D71:G71"/>
    <mergeCell ref="D72:G72"/>
    <mergeCell ref="C73:G73"/>
    <mergeCell ref="D74:G74"/>
    <mergeCell ref="C75:G75"/>
    <mergeCell ref="D76:G76"/>
    <mergeCell ref="D65:G65"/>
    <mergeCell ref="C66:G66"/>
    <mergeCell ref="D67:G67"/>
    <mergeCell ref="C68:G68"/>
    <mergeCell ref="D69:G69"/>
    <mergeCell ref="C70:G70"/>
    <mergeCell ref="D83:G83"/>
    <mergeCell ref="C84:G84"/>
    <mergeCell ref="D85:G85"/>
    <mergeCell ref="D86:G86"/>
    <mergeCell ref="C87:G87"/>
    <mergeCell ref="D88:G88"/>
    <mergeCell ref="D77:G77"/>
    <mergeCell ref="D78:G78"/>
    <mergeCell ref="D79:G79"/>
    <mergeCell ref="D80:G80"/>
    <mergeCell ref="D81:G81"/>
    <mergeCell ref="D82:G82"/>
    <mergeCell ref="B93:G93"/>
    <mergeCell ref="D94:G94"/>
    <mergeCell ref="C95:G95"/>
    <mergeCell ref="D96:G96"/>
    <mergeCell ref="D97:G97"/>
    <mergeCell ref="D98:G98"/>
    <mergeCell ref="A89:A92"/>
    <mergeCell ref="B89:M89"/>
    <mergeCell ref="B90:G92"/>
    <mergeCell ref="H90:M90"/>
    <mergeCell ref="H91:J91"/>
    <mergeCell ref="K91:M91"/>
    <mergeCell ref="D105:G105"/>
    <mergeCell ref="E106:G106"/>
    <mergeCell ref="F107:G107"/>
    <mergeCell ref="F108:G108"/>
    <mergeCell ref="E109:G109"/>
    <mergeCell ref="F110:G110"/>
    <mergeCell ref="D99:G99"/>
    <mergeCell ref="D100:G100"/>
    <mergeCell ref="D101:G101"/>
    <mergeCell ref="D102:G102"/>
    <mergeCell ref="B103:G103"/>
    <mergeCell ref="C104:G104"/>
    <mergeCell ref="D121:G121"/>
    <mergeCell ref="C122:G122"/>
    <mergeCell ref="D123:G123"/>
    <mergeCell ref="C124:G124"/>
    <mergeCell ref="D125:G125"/>
    <mergeCell ref="C126:G126"/>
    <mergeCell ref="F111:G111"/>
    <mergeCell ref="F112:G112"/>
    <mergeCell ref="E113:G113"/>
    <mergeCell ref="F114:G114"/>
    <mergeCell ref="F117:G117"/>
    <mergeCell ref="E120:G120"/>
    <mergeCell ref="B133:G133"/>
    <mergeCell ref="C134:G134"/>
    <mergeCell ref="D135:G135"/>
    <mergeCell ref="C136:G136"/>
    <mergeCell ref="D137:G137"/>
    <mergeCell ref="C138:G138"/>
    <mergeCell ref="D127:G127"/>
    <mergeCell ref="D128:G128"/>
    <mergeCell ref="C129:G129"/>
    <mergeCell ref="D130:G130"/>
    <mergeCell ref="D131:G131"/>
    <mergeCell ref="D132:G132"/>
    <mergeCell ref="B144:G144"/>
    <mergeCell ref="E145:G145"/>
    <mergeCell ref="E149:G149"/>
    <mergeCell ref="D153:G153"/>
    <mergeCell ref="C154:G154"/>
    <mergeCell ref="D155:G155"/>
    <mergeCell ref="D139:G139"/>
    <mergeCell ref="A140:A143"/>
    <mergeCell ref="B140:M140"/>
    <mergeCell ref="B141:G143"/>
    <mergeCell ref="H141:M141"/>
    <mergeCell ref="H142:J142"/>
    <mergeCell ref="K142:M142"/>
    <mergeCell ref="C162:G162"/>
    <mergeCell ref="D163:G163"/>
    <mergeCell ref="D164:G164"/>
    <mergeCell ref="C165:G165"/>
    <mergeCell ref="D166:G166"/>
    <mergeCell ref="E167:G167"/>
    <mergeCell ref="D156:G156"/>
    <mergeCell ref="D157:G157"/>
    <mergeCell ref="C158:G158"/>
    <mergeCell ref="D159:G159"/>
    <mergeCell ref="B160:G160"/>
    <mergeCell ref="B161:G161"/>
    <mergeCell ref="E174:G174"/>
    <mergeCell ref="E175:G175"/>
    <mergeCell ref="E176:G176"/>
    <mergeCell ref="D177:G177"/>
    <mergeCell ref="E178:G178"/>
    <mergeCell ref="E179:G179"/>
    <mergeCell ref="E168:G168"/>
    <mergeCell ref="D169:G169"/>
    <mergeCell ref="E170:G170"/>
    <mergeCell ref="E171:G171"/>
    <mergeCell ref="C172:G172"/>
    <mergeCell ref="D173:G173"/>
    <mergeCell ref="C186:G186"/>
    <mergeCell ref="D187:G187"/>
    <mergeCell ref="E188:G188"/>
    <mergeCell ref="E189:G189"/>
    <mergeCell ref="D190:G190"/>
    <mergeCell ref="E191:G191"/>
    <mergeCell ref="E180:G180"/>
    <mergeCell ref="C181:G181"/>
    <mergeCell ref="D182:G182"/>
    <mergeCell ref="C183:G183"/>
    <mergeCell ref="D184:G184"/>
    <mergeCell ref="D185:G185"/>
    <mergeCell ref="B197:G197"/>
    <mergeCell ref="C198:G198"/>
    <mergeCell ref="D199:G199"/>
    <mergeCell ref="E200:G200"/>
    <mergeCell ref="E201:G201"/>
    <mergeCell ref="E202:G202"/>
    <mergeCell ref="A193:A196"/>
    <mergeCell ref="B193:M193"/>
    <mergeCell ref="B194:G196"/>
    <mergeCell ref="H194:M194"/>
    <mergeCell ref="H195:J195"/>
    <mergeCell ref="K195:M195"/>
    <mergeCell ref="D209:G209"/>
    <mergeCell ref="D210:G210"/>
    <mergeCell ref="C211:G211"/>
    <mergeCell ref="C215:G215"/>
    <mergeCell ref="D216:G216"/>
    <mergeCell ref="B217:G217"/>
    <mergeCell ref="D203:G203"/>
    <mergeCell ref="E204:G204"/>
    <mergeCell ref="E205:G205"/>
    <mergeCell ref="E206:G206"/>
    <mergeCell ref="C207:G207"/>
    <mergeCell ref="D208:G208"/>
    <mergeCell ref="I250:L250"/>
    <mergeCell ref="I253:L253"/>
    <mergeCell ref="I255:L255"/>
    <mergeCell ref="I259:L259"/>
    <mergeCell ref="I266:L266"/>
    <mergeCell ref="I269:L269"/>
    <mergeCell ref="C222:G222"/>
    <mergeCell ref="C223:G223"/>
    <mergeCell ref="C224:G224"/>
    <mergeCell ref="I226:L226"/>
    <mergeCell ref="I239:L239"/>
    <mergeCell ref="I243:L243"/>
  </mergeCells>
  <pageMargins left="0.74803149606299213" right="0.23622047244094491" top="0.74803149606299213" bottom="0.51181102362204722" header="0.39370078740157483" footer="0.31496062992125984"/>
  <pageSetup paperSize="5" scale="70" orientation="portrait" useFirstPageNumber="1" r:id="rId1"/>
  <headerFooter>
    <oddHeader>&amp;C- &amp;P -</oddHeader>
  </headerFooter>
  <rowBreaks count="5" manualBreakCount="5">
    <brk id="42" max="17" man="1"/>
    <brk id="88" max="17" man="1"/>
    <brk id="139" max="17" man="1"/>
    <brk id="192" max="17" man="1"/>
    <brk id="245" max="17"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U1174"/>
  <sheetViews>
    <sheetView showGridLines="0" topLeftCell="A235" zoomScale="85" zoomScaleNormal="85" workbookViewId="0">
      <selection activeCell="H784" sqref="H784:H788"/>
    </sheetView>
  </sheetViews>
  <sheetFormatPr defaultRowHeight="14.25" x14ac:dyDescent="0.45"/>
  <cols>
    <col min="1" max="1" width="5.265625" customWidth="1"/>
    <col min="2" max="2" width="39.73046875" customWidth="1"/>
    <col min="3" max="3" width="14.53125" customWidth="1"/>
    <col min="4" max="6" width="10.46484375" customWidth="1"/>
    <col min="7" max="7" width="15.46484375" customWidth="1"/>
    <col min="8" max="8" width="32.73046875" customWidth="1"/>
    <col min="9" max="9" width="30.19921875" customWidth="1"/>
    <col min="10" max="10" width="20.53125" customWidth="1"/>
    <col min="11" max="11" width="12.53125" customWidth="1"/>
    <col min="13" max="13" width="12" customWidth="1"/>
    <col min="14" max="14" width="11.19921875" customWidth="1"/>
    <col min="15" max="15" width="11.73046875" customWidth="1"/>
    <col min="21" max="21" width="9.19921875" hidden="1" customWidth="1"/>
  </cols>
  <sheetData>
    <row r="1" spans="1:21" x14ac:dyDescent="0.45">
      <c r="B1" s="18"/>
      <c r="C1" s="18"/>
      <c r="D1" s="18"/>
      <c r="E1" s="18"/>
      <c r="G1" s="18" t="s">
        <v>57</v>
      </c>
      <c r="H1" s="18"/>
      <c r="U1" s="41" t="s">
        <v>74</v>
      </c>
    </row>
    <row r="2" spans="1:21" x14ac:dyDescent="0.45">
      <c r="B2" s="18"/>
      <c r="C2" s="18"/>
      <c r="D2" s="18"/>
      <c r="E2" s="18"/>
      <c r="G2" s="18" t="s">
        <v>0</v>
      </c>
      <c r="H2" s="18"/>
      <c r="U2" s="41" t="s">
        <v>150</v>
      </c>
    </row>
    <row r="3" spans="1:21" x14ac:dyDescent="0.45">
      <c r="B3" s="18"/>
      <c r="C3" s="18"/>
      <c r="D3" s="18"/>
      <c r="E3" s="18"/>
      <c r="G3" s="18" t="s">
        <v>1</v>
      </c>
      <c r="H3" s="18"/>
      <c r="U3" s="41" t="s">
        <v>151</v>
      </c>
    </row>
    <row r="4" spans="1:21" x14ac:dyDescent="0.45">
      <c r="B4" s="18"/>
      <c r="C4" s="18"/>
      <c r="D4" s="18"/>
      <c r="E4" s="18"/>
      <c r="G4" s="18" t="s">
        <v>260</v>
      </c>
      <c r="H4" s="18"/>
      <c r="U4" s="41" t="s">
        <v>152</v>
      </c>
    </row>
    <row r="5" spans="1:21" x14ac:dyDescent="0.45">
      <c r="B5" s="18"/>
      <c r="C5" s="18"/>
      <c r="D5" s="18"/>
      <c r="E5" s="18"/>
      <c r="G5" s="18" t="s">
        <v>259</v>
      </c>
      <c r="H5" s="18"/>
      <c r="U5" s="41" t="s">
        <v>153</v>
      </c>
    </row>
    <row r="6" spans="1:21" ht="170.25" customHeight="1" x14ac:dyDescent="0.45">
      <c r="B6" s="18"/>
      <c r="C6" s="18"/>
      <c r="D6" s="18"/>
      <c r="E6" s="18"/>
      <c r="G6" s="991" t="s">
        <v>261</v>
      </c>
      <c r="H6" s="991"/>
      <c r="U6" t="s">
        <v>154</v>
      </c>
    </row>
    <row r="7" spans="1:21" x14ac:dyDescent="0.45">
      <c r="U7" t="s">
        <v>155</v>
      </c>
    </row>
    <row r="8" spans="1:21" s="2" customFormat="1" ht="15.75" customHeight="1" x14ac:dyDescent="0.45">
      <c r="A8" s="990" t="s">
        <v>35</v>
      </c>
      <c r="B8" s="990"/>
      <c r="C8" s="990"/>
      <c r="D8" s="990"/>
      <c r="E8" s="990"/>
      <c r="F8" s="990"/>
      <c r="G8" s="990"/>
      <c r="H8" s="990"/>
      <c r="U8" s="18" t="s">
        <v>156</v>
      </c>
    </row>
    <row r="9" spans="1:21" s="2" customFormat="1" ht="15.75" customHeight="1" x14ac:dyDescent="0.45">
      <c r="A9" s="990" t="s">
        <v>36</v>
      </c>
      <c r="B9" s="990"/>
      <c r="C9" s="990"/>
      <c r="D9" s="990"/>
      <c r="E9" s="990"/>
      <c r="F9" s="990"/>
      <c r="G9" s="990"/>
      <c r="H9" s="990"/>
    </row>
    <row r="10" spans="1:21" s="2" customFormat="1" ht="17.25" customHeight="1" x14ac:dyDescent="0.45">
      <c r="A10" s="993" t="s">
        <v>37</v>
      </c>
      <c r="B10" s="993"/>
      <c r="C10" s="993"/>
      <c r="D10" s="993"/>
      <c r="E10" s="993"/>
      <c r="F10" s="993"/>
      <c r="G10" s="993"/>
      <c r="H10" s="993"/>
    </row>
    <row r="11" spans="1:21" s="2" customFormat="1" ht="15" customHeight="1" x14ac:dyDescent="0.45">
      <c r="A11" s="4">
        <v>1</v>
      </c>
      <c r="B11" s="196" t="s">
        <v>190</v>
      </c>
      <c r="C11" s="980" t="s">
        <v>868</v>
      </c>
      <c r="D11" s="981"/>
      <c r="E11" s="981"/>
      <c r="F11" s="981"/>
      <c r="G11" s="981"/>
      <c r="H11" s="982"/>
    </row>
    <row r="12" spans="1:21" s="2" customFormat="1" x14ac:dyDescent="0.45">
      <c r="A12" s="4">
        <v>2</v>
      </c>
      <c r="B12" s="196" t="s">
        <v>519</v>
      </c>
      <c r="C12" s="980">
        <v>15780038</v>
      </c>
      <c r="D12" s="981"/>
      <c r="E12" s="981"/>
      <c r="F12" s="981"/>
      <c r="G12" s="981"/>
      <c r="H12" s="982"/>
    </row>
    <row r="13" spans="1:21" s="2" customFormat="1" ht="15" customHeight="1" x14ac:dyDescent="0.45">
      <c r="A13" s="4">
        <v>3</v>
      </c>
      <c r="B13" s="161" t="s">
        <v>39</v>
      </c>
      <c r="C13" s="994" t="s">
        <v>66</v>
      </c>
      <c r="D13" s="981"/>
      <c r="E13" s="981"/>
      <c r="F13" s="981"/>
      <c r="G13" s="981"/>
      <c r="H13" s="982"/>
    </row>
    <row r="14" spans="1:21" s="2" customFormat="1" x14ac:dyDescent="0.45">
      <c r="A14" s="4">
        <v>4</v>
      </c>
      <c r="B14" s="161" t="s">
        <v>38</v>
      </c>
      <c r="C14" s="995" t="s">
        <v>869</v>
      </c>
      <c r="D14" s="996"/>
      <c r="E14" s="996"/>
      <c r="F14" s="996"/>
      <c r="G14" s="996"/>
      <c r="H14" s="997"/>
    </row>
    <row r="15" spans="1:21" s="2" customFormat="1" ht="15" customHeight="1" x14ac:dyDescent="0.45">
      <c r="A15" s="4">
        <v>5</v>
      </c>
      <c r="B15" s="161" t="s">
        <v>7</v>
      </c>
      <c r="C15" s="980" t="s">
        <v>547</v>
      </c>
      <c r="D15" s="981"/>
      <c r="E15" s="981"/>
      <c r="F15" s="981"/>
      <c r="G15" s="981"/>
      <c r="H15" s="982"/>
    </row>
    <row r="16" spans="1:21" s="2" customFormat="1" ht="16.5" customHeight="1" x14ac:dyDescent="0.45">
      <c r="A16" s="993" t="s">
        <v>61</v>
      </c>
      <c r="B16" s="993"/>
      <c r="C16" s="993"/>
      <c r="D16" s="993"/>
      <c r="E16" s="993"/>
      <c r="F16" s="993"/>
      <c r="G16" s="993"/>
      <c r="H16" s="993"/>
      <c r="J16" s="13"/>
    </row>
    <row r="17" spans="1:16" s="2" customFormat="1" ht="15" customHeight="1" x14ac:dyDescent="0.45">
      <c r="A17" s="4">
        <v>1</v>
      </c>
      <c r="B17" s="166" t="s">
        <v>190</v>
      </c>
      <c r="C17" s="994" t="str">
        <f>IF('LAMPIRAN I DONE'!F15&lt;&gt;"",'LAMPIRAN I DONE'!F15,"")</f>
        <v>Simon Siregar</v>
      </c>
      <c r="D17" s="981"/>
      <c r="E17" s="981"/>
      <c r="F17" s="981"/>
      <c r="G17" s="981"/>
      <c r="H17" s="982"/>
      <c r="J17" s="18"/>
    </row>
    <row r="18" spans="1:16" s="2" customFormat="1" ht="15" customHeight="1" x14ac:dyDescent="0.45">
      <c r="A18" s="4">
        <v>2</v>
      </c>
      <c r="B18" s="166" t="s">
        <v>519</v>
      </c>
      <c r="C18" s="994" t="str">
        <f>IF('LAMPIRAN I DONE'!F16&lt;&gt;"",'LAMPIRAN I DONE'!F16,"")</f>
        <v>410038203 / 14820015</v>
      </c>
      <c r="D18" s="981"/>
      <c r="E18" s="981"/>
      <c r="F18" s="981"/>
      <c r="G18" s="981"/>
      <c r="H18" s="982"/>
    </row>
    <row r="19" spans="1:16" s="2" customFormat="1" x14ac:dyDescent="0.45">
      <c r="A19" s="4">
        <v>3</v>
      </c>
      <c r="B19" s="166" t="s">
        <v>39</v>
      </c>
      <c r="C19" s="994" t="s">
        <v>870</v>
      </c>
      <c r="D19" s="981"/>
      <c r="E19" s="981"/>
      <c r="F19" s="981"/>
      <c r="G19" s="981"/>
      <c r="H19" s="982"/>
      <c r="I19" t="s">
        <v>68</v>
      </c>
      <c r="J19"/>
    </row>
    <row r="20" spans="1:16" s="2" customFormat="1" x14ac:dyDescent="0.45">
      <c r="A20" s="4">
        <v>4</v>
      </c>
      <c r="B20" s="166" t="s">
        <v>40</v>
      </c>
      <c r="C20" s="994" t="str">
        <f>IF('LAMPIRAN I DONE'!F21&lt;&gt;"",'LAMPIRAN I DONE'!F21,"")</f>
        <v>Lektor</v>
      </c>
      <c r="D20" s="981"/>
      <c r="E20" s="981"/>
      <c r="F20" s="981"/>
      <c r="G20" s="981"/>
      <c r="H20" s="982"/>
      <c r="I20" s="15"/>
      <c r="J20" s="15" t="s">
        <v>616</v>
      </c>
      <c r="K20" s="558"/>
      <c r="L20" s="558"/>
      <c r="M20" s="558"/>
      <c r="N20" s="558"/>
      <c r="O20" s="558"/>
      <c r="P20" s="558"/>
    </row>
    <row r="21" spans="1:16" s="2" customFormat="1" ht="15" customHeight="1" x14ac:dyDescent="0.45">
      <c r="A21" s="4">
        <v>5</v>
      </c>
      <c r="B21" s="166" t="s">
        <v>7</v>
      </c>
      <c r="C21" s="994" t="str">
        <f>IF('LAMPIRAN I DONE'!F25&lt;&gt;"",'LAMPIRAN I DONE'!F25,"")</f>
        <v>D3 Teknik Komputer Fakultas Ilmu Terapan di Universitas Telkom pada Kopertis Wilayah IV Jawa Barat dan Banten</v>
      </c>
      <c r="D21" s="981"/>
      <c r="E21" s="981"/>
      <c r="F21" s="981"/>
      <c r="G21" s="981"/>
      <c r="H21" s="982"/>
      <c r="I21" s="16"/>
      <c r="J21" s="16" t="s">
        <v>69</v>
      </c>
      <c r="K21" s="559"/>
      <c r="L21" s="559"/>
      <c r="M21" s="559"/>
      <c r="N21" s="559"/>
      <c r="O21" s="559"/>
      <c r="P21" s="559"/>
    </row>
    <row r="22" spans="1:16" s="2" customFormat="1" x14ac:dyDescent="0.45">
      <c r="A22" s="992" t="s">
        <v>41</v>
      </c>
      <c r="B22" s="992"/>
      <c r="C22" s="992"/>
      <c r="D22" s="992"/>
      <c r="E22" s="992"/>
      <c r="F22" s="992"/>
      <c r="G22" s="992"/>
      <c r="H22" s="992"/>
      <c r="I22" s="17"/>
      <c r="J22" s="554" t="s">
        <v>71</v>
      </c>
      <c r="K22" s="17"/>
      <c r="L22" s="17"/>
      <c r="M22" s="17"/>
      <c r="N22" s="17"/>
      <c r="O22" s="17"/>
      <c r="P22" s="17"/>
    </row>
    <row r="23" spans="1:16" s="2" customFormat="1" ht="43.5" customHeight="1" x14ac:dyDescent="0.45">
      <c r="A23" s="5" t="s">
        <v>42</v>
      </c>
      <c r="B23" s="164" t="s">
        <v>43</v>
      </c>
      <c r="C23" s="5" t="s">
        <v>255</v>
      </c>
      <c r="D23" s="5" t="s">
        <v>256</v>
      </c>
      <c r="E23" s="123" t="s">
        <v>257</v>
      </c>
      <c r="F23" s="123" t="s">
        <v>258</v>
      </c>
      <c r="G23" s="5" t="s">
        <v>46</v>
      </c>
      <c r="H23" s="5" t="s">
        <v>44</v>
      </c>
      <c r="J23" s="989" t="s">
        <v>624</v>
      </c>
      <c r="K23" s="989"/>
    </row>
    <row r="24" spans="1:16" s="2" customFormat="1" ht="12" customHeight="1" x14ac:dyDescent="0.45">
      <c r="A24" s="128">
        <v>1</v>
      </c>
      <c r="B24" s="167">
        <v>2</v>
      </c>
      <c r="C24" s="128">
        <v>3</v>
      </c>
      <c r="D24" s="128">
        <v>4</v>
      </c>
      <c r="E24" s="198"/>
      <c r="F24" s="198"/>
      <c r="G24" s="128">
        <v>5</v>
      </c>
      <c r="H24" s="128">
        <v>6</v>
      </c>
    </row>
    <row r="25" spans="1:16" s="2" customFormat="1" ht="15" customHeight="1" x14ac:dyDescent="0.45">
      <c r="A25" s="123" t="s">
        <v>2</v>
      </c>
      <c r="B25" s="160" t="s">
        <v>131</v>
      </c>
      <c r="C25" s="19"/>
      <c r="D25" s="19"/>
      <c r="E25" s="19"/>
      <c r="F25" s="19"/>
      <c r="G25" s="19"/>
      <c r="H25" s="20"/>
      <c r="I25" s="87"/>
      <c r="J25" s="87"/>
      <c r="K25" s="33"/>
      <c r="L25" s="33"/>
      <c r="M25" s="33"/>
    </row>
    <row r="26" spans="1:16" s="2" customFormat="1" ht="15" customHeight="1" x14ac:dyDescent="0.45">
      <c r="A26" s="130" t="s">
        <v>15</v>
      </c>
      <c r="B26" s="971" t="s">
        <v>115</v>
      </c>
      <c r="C26" s="972"/>
      <c r="D26" s="972"/>
      <c r="E26" s="972"/>
      <c r="F26" s="972"/>
      <c r="G26" s="972"/>
      <c r="H26" s="973"/>
      <c r="I26" s="33"/>
      <c r="J26" s="33"/>
    </row>
    <row r="27" spans="1:16" s="2" customFormat="1" ht="15" customHeight="1" x14ac:dyDescent="0.45">
      <c r="A27" s="129">
        <v>1</v>
      </c>
      <c r="B27" s="165" t="s">
        <v>249</v>
      </c>
      <c r="C27" s="28" t="s">
        <v>66</v>
      </c>
      <c r="D27" s="28" t="str">
        <f>IF(G27&lt;&gt;"rumus","Ijazah","")</f>
        <v/>
      </c>
      <c r="E27" s="256" t="str">
        <f t="shared" ref="E27" si="0">IF(I27&lt;&gt;"",1,"")</f>
        <v/>
      </c>
      <c r="F27" s="256" t="str">
        <f>IF(I27&lt;&gt;"",J27,"")</f>
        <v/>
      </c>
      <c r="G27" s="159" t="str">
        <f>IF(J27&lt;&gt;"rumus","1 x "&amp;J27&amp;" = "&amp;J27,"rumus")</f>
        <v>rumus</v>
      </c>
      <c r="H27" s="28" t="s">
        <v>66</v>
      </c>
      <c r="I27" s="26"/>
      <c r="J27" s="27" t="str">
        <f>IF(I27&lt;&gt;"",IF(I27="Doktor (S3) linier",50,IF(I27="Doktor (S3) non linier",15,IF(I27="Magister (S2) linier",50,IF(I27="Magister (S2) non linier",15,IF(I27="Sarjana (S1)",100,""))))),"rumus")</f>
        <v>rumus</v>
      </c>
      <c r="K27" s="33"/>
      <c r="L27" s="33"/>
    </row>
    <row r="28" spans="1:16" s="2" customFormat="1" x14ac:dyDescent="0.45">
      <c r="A28" s="129">
        <v>2</v>
      </c>
      <c r="B28" s="165" t="s">
        <v>138</v>
      </c>
      <c r="C28" s="28" t="s">
        <v>66</v>
      </c>
      <c r="D28" s="28" t="str">
        <f t="shared" ref="D28:D29" si="1">IF(G28&lt;&gt;"rumus","Ijazah","")</f>
        <v/>
      </c>
      <c r="E28" s="256" t="str">
        <f t="shared" ref="E28:E29" si="2">IF(I28&lt;&gt;"",1,"")</f>
        <v/>
      </c>
      <c r="F28" s="256" t="str">
        <f t="shared" ref="F28:F29" si="3">IF(I28&lt;&gt;"",J28,"")</f>
        <v/>
      </c>
      <c r="G28" s="159" t="str">
        <f t="shared" ref="G28:G29" si="4">IF(J28&lt;&gt;"rumus","1 x "&amp;J28&amp;" = "&amp;J28,"rumus")</f>
        <v>rumus</v>
      </c>
      <c r="H28" s="28" t="s">
        <v>66</v>
      </c>
      <c r="I28" s="26"/>
      <c r="J28" s="27" t="str">
        <f>IF(I28&lt;&gt;"",IF(I28="Doktor (S3) linier",50,IF(I28="Doktor (S3) non linier",15,IF(I28="Magister (S2) linier",50,IF(I28="Magister (S2) non linier",15,IF(I28="Sarjana (S1)",100,""))))),"rumus")</f>
        <v>rumus</v>
      </c>
      <c r="K28" s="33"/>
      <c r="L28" s="33"/>
    </row>
    <row r="29" spans="1:16" s="2" customFormat="1" ht="15" customHeight="1" x14ac:dyDescent="0.45">
      <c r="A29" s="129">
        <v>3</v>
      </c>
      <c r="B29" s="165" t="s">
        <v>139</v>
      </c>
      <c r="C29" s="28" t="s">
        <v>66</v>
      </c>
      <c r="D29" s="28" t="str">
        <f t="shared" si="1"/>
        <v/>
      </c>
      <c r="E29" s="256" t="str">
        <f t="shared" si="2"/>
        <v/>
      </c>
      <c r="F29" s="256" t="str">
        <f t="shared" si="3"/>
        <v/>
      </c>
      <c r="G29" s="159" t="str">
        <f t="shared" si="4"/>
        <v>rumus</v>
      </c>
      <c r="H29" s="28" t="s">
        <v>66</v>
      </c>
      <c r="I29" s="26"/>
      <c r="J29" s="27" t="str">
        <f>IF(I29&lt;&gt;"",IF(I29="Doktor (S3) linier",50,IF(I29="Doktor (S3) non linier",15,IF(I29="Magister (S2) linier",50,IF(I29="Magister (S2) non linier",15,IF(I29="Sarjana (S1)",100,""))))),"rumus")</f>
        <v>rumus</v>
      </c>
      <c r="K29" s="33"/>
      <c r="L29" s="33"/>
    </row>
    <row r="30" spans="1:16" s="2" customFormat="1" ht="15" customHeight="1" x14ac:dyDescent="0.45">
      <c r="A30" s="129"/>
      <c r="B30" s="974" t="s">
        <v>67</v>
      </c>
      <c r="C30" s="975"/>
      <c r="D30" s="976"/>
      <c r="E30" s="249"/>
      <c r="F30" s="253"/>
      <c r="G30" s="118">
        <f>K30</f>
        <v>0</v>
      </c>
      <c r="H30" s="28"/>
      <c r="I30" s="33"/>
      <c r="J30" s="33"/>
      <c r="K30" s="2">
        <f>SUM(J27:J29)</f>
        <v>0</v>
      </c>
    </row>
    <row r="31" spans="1:16" s="2" customFormat="1" ht="15" customHeight="1" x14ac:dyDescent="0.45">
      <c r="A31" s="130" t="s">
        <v>17</v>
      </c>
      <c r="B31" s="971" t="s">
        <v>116</v>
      </c>
      <c r="C31" s="972"/>
      <c r="D31" s="972"/>
      <c r="E31" s="972"/>
      <c r="F31" s="972"/>
      <c r="G31" s="972"/>
      <c r="H31" s="973"/>
      <c r="I31" s="33"/>
      <c r="J31" s="33"/>
    </row>
    <row r="32" spans="1:16" s="2" customFormat="1" ht="15" customHeight="1" x14ac:dyDescent="0.45">
      <c r="A32" s="129">
        <v>1</v>
      </c>
      <c r="B32" s="165" t="s">
        <v>116</v>
      </c>
      <c r="C32" s="28" t="s">
        <v>66</v>
      </c>
      <c r="D32" s="28" t="s">
        <v>66</v>
      </c>
      <c r="E32" s="256" t="str">
        <f t="shared" ref="E32" si="5">IF(I32&lt;&gt;"",1,"")</f>
        <v/>
      </c>
      <c r="F32" s="256" t="str">
        <f>IF(I32&lt;&gt;"",J32,"")</f>
        <v/>
      </c>
      <c r="G32" s="159" t="str">
        <f>IF(J32&lt;&gt;"rumus","1 x "&amp;J32&amp;" = "&amp;J32,"rumus")</f>
        <v>rumus</v>
      </c>
      <c r="H32" s="28" t="s">
        <v>66</v>
      </c>
      <c r="I32" s="26"/>
      <c r="J32" s="27" t="str">
        <f>IF(I32="Diklat Pra Jabatan setiap Sertifikat",2,"rumus")</f>
        <v>rumus</v>
      </c>
      <c r="K32" s="33"/>
      <c r="L32" s="33"/>
    </row>
    <row r="33" spans="1:14" s="2" customFormat="1" ht="15" customHeight="1" x14ac:dyDescent="0.45">
      <c r="A33" s="129">
        <v>2</v>
      </c>
      <c r="B33" s="165" t="s">
        <v>116</v>
      </c>
      <c r="C33" s="28" t="s">
        <v>66</v>
      </c>
      <c r="D33" s="28" t="s">
        <v>66</v>
      </c>
      <c r="E33" s="256" t="str">
        <f t="shared" ref="E33" si="6">IF(I33&lt;&gt;"",1,"")</f>
        <v/>
      </c>
      <c r="F33" s="256" t="str">
        <f>IF(I33&lt;&gt;"",J33,"")</f>
        <v/>
      </c>
      <c r="G33" s="159" t="str">
        <f>IF(J33&lt;&gt;"rumus","1 x "&amp;J33&amp;" = "&amp;J33,"rumus")</f>
        <v>rumus</v>
      </c>
      <c r="H33" s="28" t="s">
        <v>66</v>
      </c>
      <c r="I33" s="26"/>
      <c r="J33" s="27" t="str">
        <f>IF(I33="Diklat Pra Jabatan setiap Sertifikat",2,"rumus")</f>
        <v>rumus</v>
      </c>
      <c r="K33" s="33"/>
      <c r="L33" s="33"/>
    </row>
    <row r="34" spans="1:14" s="2" customFormat="1" x14ac:dyDescent="0.45">
      <c r="A34" s="8"/>
      <c r="B34" s="968" t="s">
        <v>67</v>
      </c>
      <c r="C34" s="969"/>
      <c r="D34" s="970"/>
      <c r="E34" s="248"/>
      <c r="F34" s="252"/>
      <c r="G34" s="62">
        <f>K34</f>
        <v>0</v>
      </c>
      <c r="H34" s="8"/>
      <c r="I34" s="33"/>
      <c r="J34" s="33"/>
      <c r="K34" s="33">
        <f>SUM(J32:J33)</f>
        <v>0</v>
      </c>
      <c r="L34" s="33"/>
      <c r="M34" s="33"/>
    </row>
    <row r="35" spans="1:14" s="2" customFormat="1" x14ac:dyDescent="0.45">
      <c r="A35" s="123"/>
      <c r="B35" s="968" t="s">
        <v>140</v>
      </c>
      <c r="C35" s="969"/>
      <c r="D35" s="970"/>
      <c r="E35" s="248"/>
      <c r="F35" s="252"/>
      <c r="G35" s="62">
        <f>G30+G34</f>
        <v>0</v>
      </c>
      <c r="H35" s="123"/>
      <c r="I35" s="33"/>
      <c r="J35" s="33"/>
      <c r="K35" s="33"/>
      <c r="L35" s="33"/>
      <c r="M35" s="33"/>
    </row>
    <row r="36" spans="1:14" s="2" customFormat="1" x14ac:dyDescent="0.45">
      <c r="A36" s="123" t="s">
        <v>10</v>
      </c>
      <c r="B36" s="162" t="s">
        <v>117</v>
      </c>
      <c r="C36" s="23"/>
      <c r="D36" s="23"/>
      <c r="E36" s="23"/>
      <c r="F36" s="23"/>
      <c r="G36" s="23"/>
      <c r="H36" s="24"/>
      <c r="I36" s="33"/>
      <c r="J36" s="33"/>
      <c r="K36" s="33"/>
      <c r="L36" s="33"/>
      <c r="M36" s="33"/>
    </row>
    <row r="37" spans="1:14" s="2" customFormat="1" x14ac:dyDescent="0.45">
      <c r="A37" s="130" t="s">
        <v>15</v>
      </c>
      <c r="B37" s="971" t="s">
        <v>247</v>
      </c>
      <c r="C37" s="972"/>
      <c r="D37" s="972"/>
      <c r="E37" s="972"/>
      <c r="F37" s="972"/>
      <c r="G37" s="972"/>
      <c r="H37" s="973"/>
      <c r="I37" s="59" t="s">
        <v>72</v>
      </c>
      <c r="J37" s="59" t="s">
        <v>73</v>
      </c>
      <c r="K37" s="33"/>
      <c r="L37" s="33"/>
      <c r="M37" s="33"/>
    </row>
    <row r="38" spans="1:14" s="2" customFormat="1" ht="15" hidden="1" customHeight="1" x14ac:dyDescent="0.45">
      <c r="A38" s="67"/>
      <c r="B38" s="168" t="str">
        <f>"a. Semester Gasal "&amp;IF(C39&lt;&gt;"",C39,"")&amp;" :"</f>
        <v>a. Semester Gasal 2007/2008 :</v>
      </c>
      <c r="C38" s="30"/>
      <c r="D38" s="30"/>
      <c r="E38" s="30"/>
      <c r="F38" s="30"/>
      <c r="G38" s="30"/>
      <c r="H38" s="54"/>
      <c r="I38" s="496" t="str">
        <f>IF(I39&lt;&gt;"",0,"")</f>
        <v/>
      </c>
      <c r="J38" s="496" t="str">
        <f>IF(J39&lt;&gt;"",0,"")</f>
        <v/>
      </c>
      <c r="K38" s="33"/>
      <c r="L38" s="33"/>
      <c r="M38" s="33"/>
      <c r="N38" s="33"/>
    </row>
    <row r="39" spans="1:14" s="2" customFormat="1" ht="25.5" hidden="1" customHeight="1" x14ac:dyDescent="0.45">
      <c r="A39" s="67">
        <v>1</v>
      </c>
      <c r="B39" s="163" t="s">
        <v>81</v>
      </c>
      <c r="C39" s="28" t="s">
        <v>144</v>
      </c>
      <c r="D39" s="28" t="str">
        <f>IF(G39&lt;&gt;"rumus","SKS","")</f>
        <v/>
      </c>
      <c r="E39" s="256" t="str">
        <f>IF(K39&lt;&gt;"rumus",(IF(OR(AND(L39="sks&gt;10",L38="sks&lt;=10",IFERROR(SUMPRODUCT($I$38:I38,$J$38:J38)&lt;10,FALSE)),AND(L39="sks&gt;10",L38="")),(((10-SUMPRODUCT($I$38:I38,$J$38:J38))&amp;" x "&amp;1)&amp;"
"&amp;(((I39*J39)-(10-SUMPRODUCT($I$38:I38,$J$38:J38)))&amp;" x "&amp;1)),(I39&amp;" x "&amp;J39))),"")</f>
        <v/>
      </c>
      <c r="F39" s="256" t="str">
        <f>IF(K39&lt;&gt;"rumus",(IF(OR(AND(L39="sks&gt;10",L38="sks&lt;=10",IFERROR(SUMPRODUCT($I$38:I38,$J$38:J38)&lt;10,FALSE)),AND(L39="sks&gt;10",L38="")),((IF('LAMPIRAN I DONE'!$F$21="Tenaga Pengajar",0.5,IF(OR('LAMPIRAN I DONE'!$F$21="Asisten Ahli",'LAMPIRAN I DONE'!$F$21="Lektor",'LAMPIRAN I DONE'!$F$21="Lektor Kepala",'LAMPIRAN I DONE'!$F$21="Guru Besar"),1,"")))&amp;"
"&amp;(IF('LAMPIRAN I DONE'!$F$21="Tenaga Pengajar",0.25,IF(OR('LAMPIRAN I DONE'!$F$21="Asisten Ahli",'LAMPIRAN I DONE'!$F$21="Lektor",'LAMPIRAN I DONE'!$F$21="Lektor Kepala",'LAMPIRAN I DONE'!$F$21="Guru Besar"),0.5,"")))),((IF(OR(AND(L39="sks&gt;10",L38="sks&gt;10"),AND(L39="sks&gt;10",L38="sks&lt;=10")),IF('LAMPIRAN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f>
        <v/>
      </c>
      <c r="G39" s="105" t="str">
        <f>IF(K39&lt;&gt;"rumus",(IF(OR(AND(L39="sks&gt;10",L38="sks&lt;=10",IFERROR(SUMPRODUCT($I$38:I38,$J$38:J38)&lt;10,FALSE)),AND(L39="sks&gt;10",L38="")),(((10-SUMPRODUCT($I$38:I38,$J$38:J38))&amp;" x "&amp;1&amp;" x "&amp;IF('LAMPIRAN I DONE'!$F$21="Tenaga Pengajar",0.5,IF(OR('LAMPIRAN I DONE'!$F$21="Asisten Ahli",'LAMPIRAN I DONE'!$F$21="Lektor",'LAMPIRAN I DONE'!$F$21="Lektor Kepala",'LAMPIRAN I DONE'!$F$21="Guru Besar"),1,""))&amp;" = "&amp;((10-SUMPRODUCT($I$38:I38,$J$38:J38))*IF('LAMPIRAN I DONE'!$F$21="Tenaga Pengajar",0.5,IF(OR('LAMPIRAN I DONE'!$F$21="Asisten Ahli",'LAMPIRAN I DONE'!$F$21="Lektor",'LAMPIRAN I DONE'!$F$21="Lektor Kepala",'LAMPIRAN I DONE'!$F$21="Guru Besar"),1,""))))&amp;"
"&amp;(((I39*J39)-(10-SUMPRODUCT($I$38:I38,$J$38:J38)))&amp;" x "&amp;1&amp;" x "&amp;IF('LAMPIRAN I DONE'!$F$21="Tenaga Pengajar",0.25,IF(OR('LAMPIRAN I DONE'!$F$21="Asisten Ahli",'LAMPIRAN I DONE'!$F$21="Lektor",'LAMPIRAN I DONE'!$F$21="Lektor Kepala",'LAMPIRAN I DONE'!$F$21="Guru Besar"),0.5,""))&amp;" = "&amp;(((I39*J39)-(10-SUMPRODUCT($I$38:I38,$J$38:J38)))*IF('LAMPIRAN I DONE'!$F$21="Tenaga Pengajar",0.25,IF(OR('LAMPIRAN I DONE'!$F$21="Asisten Ahli",'LAMPIRAN I DONE'!$F$21="Lektor",'LAMPIRAN I DONE'!$F$21="Lektor Kepala",'LAMPIRAN I DONE'!$F$21="Guru Besar"),0.5,""))))),(I39&amp;" x "&amp;J39&amp;" x "&amp;(IF(OR(AND(L39="sks&gt;10",L38="sks&gt;10"),AND(L39="sks&gt;10",L38="sks&lt;=10")),IF('LAMPIRAN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Besar"),1,""))))&amp;" = "&amp;K39))),"rumus")</f>
        <v>rumus</v>
      </c>
      <c r="H39" s="28" t="s">
        <v>620</v>
      </c>
      <c r="I39" s="34"/>
      <c r="J39" s="34"/>
      <c r="K39" s="27" t="str">
        <f>IF(AND(I39&lt;&gt;"",J39&lt;&gt;""),(IF(OR(AND(L39="sks&gt;10",L38="sks&lt;=10",IFERROR(SUMPRODUCT($I$38:I38,$J$38:J38)&lt;10,FALSE)),AND(L39="sks&gt;10",L38="")),(((10-SUMPRODUCT($I$38:I38,$J$38:J38))*IF('LAMPIRAN I DONE'!$F$21="Tenaga Pengajar",0.5,IF(OR('LAMPIRAN I DONE'!$F$21="Asisten Ahli",'LAMPIRAN I DONE'!$F$21="Lektor",'LAMPIRAN I DONE'!$F$21="Lektor Kepala",'LAMPIRAN I DONE'!$F$21="Guru Besar"),1,"")))+(((I39*J39)-(10-SUMPRODUCT($I$38:I38,$J$38:J38)))*IF('LAMPIRAN I DONE'!$F$21="Tenaga Pengajar",0.25,IF(OR('LAMPIRAN I DONE'!$F$21="Asisten Ahli",'LAMPIRAN I DONE'!$F$21="Lektor",'LAMPIRAN I DONE'!$F$21="Lektor Kepala",'LAMPIRAN I DONE'!$F$21="Guru Besar"),0.5,"")))),IF(OR(AND(L39="sks&gt;10",L38="sks&gt;10"),AND(L39="sks&gt;10",L38="sks&lt;=10")),I39*J39*IF('LAMPIRAN I DONE'!$F$21="Tenaga Pengajar",0.25,IF(OR('LAMPIRAN I DONE'!$F$21="Asisten Ahli",'LAMPIRAN I DONE'!$F$21="Lektor",'LAMPIRAN I DONE'!$F$21="Lektor Kepala",'LAMPIRAN I DONE'!$F$21="Guru Besar"),0.5,"")),I39*J39*IF('LAMPIRAN I DONE'!$F$21="Tenaga Pengajar",0.5,IF(OR('LAMPIRAN I DONE'!$F$21="Asisten Ahli",'LAMPIRAN I DONE'!$F$21="Lektor",'LAMPIRAN I DONE'!$F$21="Lektor Kepala",'LAMPIRAN I DONE'!$F$21="Guru Besar"),1,""))))),"rumus")</f>
        <v>rumus</v>
      </c>
      <c r="L39" s="27" t="str">
        <f>IF(AND(I39&lt;&gt;"",J39&lt;&gt;""),(IF(SUMPRODUCT($I$39:I39,$J$39:J39)&lt;=10,"SKS&lt;=10",IF(SUMPRODUCT($I$39:I39,$J$39:J39)&gt;10,"SKS&gt;10",""))),"rumus")</f>
        <v>rumus</v>
      </c>
    </row>
    <row r="40" spans="1:14" s="2" customFormat="1" ht="25.5" hidden="1" customHeight="1" x14ac:dyDescent="0.45">
      <c r="A40" s="67">
        <v>2</v>
      </c>
      <c r="B40" s="163" t="s">
        <v>81</v>
      </c>
      <c r="C40" s="28" t="s">
        <v>144</v>
      </c>
      <c r="D40" s="28" t="str">
        <f t="shared" ref="D40:D44" si="7">IF(G40&lt;&gt;"rumus","SKS","")</f>
        <v/>
      </c>
      <c r="E40" s="256" t="str">
        <f>IF(K40&lt;&gt;"rumus",(IF(OR(AND(L40="sks&gt;10",L39="sks&lt;=10",IFERROR(SUMPRODUCT($I$38:I39,$J$38:J39)&lt;10,FALSE)),AND(L40="sks&gt;10",L39="")),(((10-SUMPRODUCT($I$38:I39,$J$38:J39))&amp;" x "&amp;1)&amp;"
"&amp;(((I40*J40)-(10-SUMPRODUCT($I$38:I39,$J$38:J39)))&amp;" x "&amp;1)),(I40&amp;" x "&amp;J40))),"")</f>
        <v/>
      </c>
      <c r="F40" s="256" t="str">
        <f>IF(K40&lt;&gt;"rumus",(IF(OR(AND(L40="sks&gt;10",L39="sks&lt;=10",IFERROR(SUMPRODUCT($I$38:I39,$J$38:J39)&lt;10,FALSE)),AND(L40="sks&gt;10",L39="")),((IF('LAMPIRAN I DONE'!$F$21="Tenaga Pengajar",0.5,IF(OR('LAMPIRAN I DONE'!$F$21="Asisten Ahli",'LAMPIRAN I DONE'!$F$21="Lektor",'LAMPIRAN I DONE'!$F$21="Lektor Kepala",'LAMPIRAN I DONE'!$F$21="Guru Besar"),1,"")))&amp;"
"&amp;(IF('LAMPIRAN I DONE'!$F$21="Tenaga Pengajar",0.25,IF(OR('LAMPIRAN I DONE'!$F$21="Asisten Ahli",'LAMPIRAN I DONE'!$F$21="Lektor",'LAMPIRAN I DONE'!$F$21="Lektor Kepala",'LAMPIRAN I DONE'!$F$21="Guru Besar"),0.5,"")))),((IF(OR(AND(L40="sks&gt;10",L39="sks&gt;10"),AND(L40="sks&gt;10",L39="sks&lt;=10")),IF('LAMPIRAN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f>
        <v/>
      </c>
      <c r="G40" s="105" t="str">
        <f>IF(K40&lt;&gt;"rumus",(IF(OR(AND(L40="sks&gt;10",L39="sks&lt;=10",IFERROR(SUMPRODUCT($I$38:I39,$J$38:J39)&lt;10,FALSE)),AND(L40="sks&gt;10",L39="")),(((10-SUMPRODUCT($I$38:I39,$J$38:J39))&amp;" x "&amp;1&amp;" x "&amp;IF('LAMPIRAN I DONE'!$F$21="Tenaga Pengajar",0.5,IF(OR('LAMPIRAN I DONE'!$F$21="Asisten Ahli",'LAMPIRAN I DONE'!$F$21="Lektor",'LAMPIRAN I DONE'!$F$21="Lektor Kepala",'LAMPIRAN I DONE'!$F$21="Guru Besar"),1,""))&amp;" = "&amp;((10-SUMPRODUCT($I$38:I39,$J$38:J39))*IF('LAMPIRAN I DONE'!$F$21="Tenaga Pengajar",0.5,IF(OR('LAMPIRAN I DONE'!$F$21="Asisten Ahli",'LAMPIRAN I DONE'!$F$21="Lektor",'LAMPIRAN I DONE'!$F$21="Lektor Kepala",'LAMPIRAN I DONE'!$F$21="Guru Besar"),1,""))))&amp;"
"&amp;(((I40*J40)-(10-SUMPRODUCT($I$38:I39,$J$38:J39)))&amp;" x "&amp;1&amp;" x "&amp;IF('LAMPIRAN I DONE'!$F$21="Tenaga Pengajar",0.25,IF(OR('LAMPIRAN I DONE'!$F$21="Asisten Ahli",'LAMPIRAN I DONE'!$F$21="Lektor",'LAMPIRAN I DONE'!$F$21="Lektor Kepala",'LAMPIRAN I DONE'!$F$21="Guru Besar"),0.5,""))&amp;" = "&amp;(((I40*J40)-(10-SUMPRODUCT($I$38:I39,$J$38:J39)))*IF('LAMPIRAN I DONE'!$F$21="Tenaga Pengajar",0.25,IF(OR('LAMPIRAN I DONE'!$F$21="Asisten Ahli",'LAMPIRAN I DONE'!$F$21="Lektor",'LAMPIRAN I DONE'!$F$21="Lektor Kepala",'LAMPIRAN I DONE'!$F$21="Guru Besar"),0.5,""))))),(I40&amp;" x "&amp;J40&amp;" x "&amp;(IF(OR(AND(L40="sks&gt;10",L39="sks&gt;10"),AND(L40="sks&gt;10",L39="sks&lt;=10")),IF('LAMPIRAN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Besar"),1,""))))&amp;" = "&amp;K40))),"rumus")</f>
        <v>rumus</v>
      </c>
      <c r="H40" s="28" t="s">
        <v>620</v>
      </c>
      <c r="I40" s="34"/>
      <c r="J40" s="34"/>
      <c r="K40" s="27" t="str">
        <f>IF(AND(I40&lt;&gt;"",J40&lt;&gt;""),(IF(OR(AND(L40="sks&gt;10",L39="sks&lt;=10",IFERROR(SUMPRODUCT($I$38:I39,$J$38:J39)&lt;10,FALSE)),AND(L40="sks&gt;10",L39="")),(((10-SUMPRODUCT($I$38:I39,$J$38:J39))*IF('LAMPIRAN I DONE'!$F$21="Tenaga Pengajar",0.5,IF(OR('LAMPIRAN I DONE'!$F$21="Asisten Ahli",'LAMPIRAN I DONE'!$F$21="Lektor",'LAMPIRAN I DONE'!$F$21="Lektor Kepala",'LAMPIRAN I DONE'!$F$21="Guru Besar"),1,"")))+(((I40*J40)-(10-SUMPRODUCT($I$38:I39,$J$38:J39)))*IF('LAMPIRAN I DONE'!$F$21="Tenaga Pengajar",0.25,IF(OR('LAMPIRAN I DONE'!$F$21="Asisten Ahli",'LAMPIRAN I DONE'!$F$21="Lektor",'LAMPIRAN I DONE'!$F$21="Lektor Kepala",'LAMPIRAN I DONE'!$F$21="Guru Besar"),0.5,"")))),IF(OR(AND(L40="sks&gt;10",L39="sks&gt;10"),AND(L40="sks&gt;10",L39="sks&lt;=10")),I40*J40*IF('LAMPIRAN I DONE'!$F$21="Tenaga Pengajar",0.25,IF(OR('LAMPIRAN I DONE'!$F$21="Asisten Ahli",'LAMPIRAN I DONE'!$F$21="Lektor",'LAMPIRAN I DONE'!$F$21="Lektor Kepala",'LAMPIRAN I DONE'!$F$21="Guru Besar"),0.5,"")),I40*J40*IF('LAMPIRAN I DONE'!$F$21="Tenaga Pengajar",0.5,IF(OR('LAMPIRAN I DONE'!$F$21="Asisten Ahli",'LAMPIRAN I DONE'!$F$21="Lektor",'LAMPIRAN I DONE'!$F$21="Lektor Kepala",'LAMPIRAN I DONE'!$F$21="Guru Besar"),1,""))))),"rumus")</f>
        <v>rumus</v>
      </c>
      <c r="L40" s="27" t="str">
        <f>IF(AND(I40&lt;&gt;"",J40&lt;&gt;""),(IF(SUMPRODUCT($I$39:I40,$J$39:J40)&lt;=10,"SKS&lt;=10",IF(SUMPRODUCT($I$39:I40,$J$39:J40)&gt;10,"SKS&gt;10",""))),"rumus")</f>
        <v>rumus</v>
      </c>
    </row>
    <row r="41" spans="1:14" s="2" customFormat="1" ht="25.5" hidden="1" customHeight="1" x14ac:dyDescent="0.45">
      <c r="A41" s="67">
        <v>3</v>
      </c>
      <c r="B41" s="163" t="s">
        <v>81</v>
      </c>
      <c r="C41" s="28" t="s">
        <v>144</v>
      </c>
      <c r="D41" s="28" t="str">
        <f t="shared" si="7"/>
        <v/>
      </c>
      <c r="E41" s="256" t="str">
        <f>IF(K41&lt;&gt;"rumus",(IF(OR(AND(L41="sks&gt;10",L40="sks&lt;=10",IFERROR(SUMPRODUCT($I$38:I40,$J$38:J40)&lt;10,FALSE)),AND(L41="sks&gt;10",L40="")),(((10-SUMPRODUCT($I$38:I40,$J$38:J40))&amp;" x "&amp;1)&amp;"
"&amp;(((I41*J41)-(10-SUMPRODUCT($I$38:I40,$J$38:J40)))&amp;" x "&amp;1)),(I41&amp;" x "&amp;J41))),"")</f>
        <v/>
      </c>
      <c r="F41" s="256" t="str">
        <f>IF(K41&lt;&gt;"rumus",(IF(OR(AND(L41="sks&gt;10",L40="sks&lt;=10",IFERROR(SUMPRODUCT($I$38:I40,$J$38:J40)&lt;10,FALSE)),AND(L41="sks&gt;10",L40="")),((IF('LAMPIRAN I DONE'!$F$21="Tenaga Pengajar",0.5,IF(OR('LAMPIRAN I DONE'!$F$21="Asisten Ahli",'LAMPIRAN I DONE'!$F$21="Lektor",'LAMPIRAN I DONE'!$F$21="Lektor Kepala",'LAMPIRAN I DONE'!$F$21="Guru Besar"),1,"")))&amp;"
"&amp;(IF('LAMPIRAN I DONE'!$F$21="Tenaga Pengajar",0.25,IF(OR('LAMPIRAN I DONE'!$F$21="Asisten Ahli",'LAMPIRAN I DONE'!$F$21="Lektor",'LAMPIRAN I DONE'!$F$21="Lektor Kepala",'LAMPIRAN I DONE'!$F$21="Guru Besar"),0.5,"")))),((IF(OR(AND(L41="sks&gt;10",L40="sks&gt;10"),AND(L41="sks&gt;10",L40="sks&lt;=10")),IF('LAMPIRAN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f>
        <v/>
      </c>
      <c r="G41" s="105" t="str">
        <f>IF(K41&lt;&gt;"rumus",(IF(OR(AND(L41="sks&gt;10",L40="sks&lt;=10",IFERROR(SUMPRODUCT($I$38:I40,$J$38:J40)&lt;10,FALSE)),AND(L41="sks&gt;10",L40="")),(((10-SUMPRODUCT($I$38:I40,$J$38:J40))&amp;" x "&amp;1&amp;" x "&amp;IF('LAMPIRAN I DONE'!$F$21="Tenaga Pengajar",0.5,IF(OR('LAMPIRAN I DONE'!$F$21="Asisten Ahli",'LAMPIRAN I DONE'!$F$21="Lektor",'LAMPIRAN I DONE'!$F$21="Lektor Kepala",'LAMPIRAN I DONE'!$F$21="Guru Besar"),1,""))&amp;" = "&amp;((10-SUMPRODUCT($I$38:I40,$J$38:J40))*IF('LAMPIRAN I DONE'!$F$21="Tenaga Pengajar",0.5,IF(OR('LAMPIRAN I DONE'!$F$21="Asisten Ahli",'LAMPIRAN I DONE'!$F$21="Lektor",'LAMPIRAN I DONE'!$F$21="Lektor Kepala",'LAMPIRAN I DONE'!$F$21="Guru Besar"),1,""))))&amp;"
"&amp;(((I41*J41)-(10-SUMPRODUCT($I$38:I40,$J$38:J40)))&amp;" x "&amp;1&amp;" x "&amp;IF('LAMPIRAN I DONE'!$F$21="Tenaga Pengajar",0.25,IF(OR('LAMPIRAN I DONE'!$F$21="Asisten Ahli",'LAMPIRAN I DONE'!$F$21="Lektor",'LAMPIRAN I DONE'!$F$21="Lektor Kepala",'LAMPIRAN I DONE'!$F$21="Guru Besar"),0.5,""))&amp;" = "&amp;(((I41*J41)-(10-SUMPRODUCT($I$38:I40,$J$38:J40)))*IF('LAMPIRAN I DONE'!$F$21="Tenaga Pengajar",0.25,IF(OR('LAMPIRAN I DONE'!$F$21="Asisten Ahli",'LAMPIRAN I DONE'!$F$21="Lektor",'LAMPIRAN I DONE'!$F$21="Lektor Kepala",'LAMPIRAN I DONE'!$F$21="Guru Besar"),0.5,""))))),(I41&amp;" x "&amp;J41&amp;" x "&amp;(IF(OR(AND(L41="sks&gt;10",L40="sks&gt;10"),AND(L41="sks&gt;10",L40="sks&lt;=10")),IF('LAMPIRAN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Besar"),1,""))))&amp;" = "&amp;K41))),"rumus")</f>
        <v>rumus</v>
      </c>
      <c r="H41" s="28" t="s">
        <v>620</v>
      </c>
      <c r="I41" s="34"/>
      <c r="J41" s="34"/>
      <c r="K41" s="27" t="str">
        <f>IF(AND(I41&lt;&gt;"",J41&lt;&gt;""),(IF(OR(AND(L41="sks&gt;10",L40="sks&lt;=10",IFERROR(SUMPRODUCT($I$38:I40,$J$38:J40)&lt;10,FALSE)),AND(L41="sks&gt;10",L40="")),(((10-SUMPRODUCT($I$38:I40,$J$38:J40))*IF('LAMPIRAN I DONE'!$F$21="Tenaga Pengajar",0.5,IF(OR('LAMPIRAN I DONE'!$F$21="Asisten Ahli",'LAMPIRAN I DONE'!$F$21="Lektor",'LAMPIRAN I DONE'!$F$21="Lektor Kepala",'LAMPIRAN I DONE'!$F$21="Guru Besar"),1,"")))+(((I41*J41)-(10-SUMPRODUCT($I$38:I40,$J$38:J40)))*IF('LAMPIRAN I DONE'!$F$21="Tenaga Pengajar",0.25,IF(OR('LAMPIRAN I DONE'!$F$21="Asisten Ahli",'LAMPIRAN I DONE'!$F$21="Lektor",'LAMPIRAN I DONE'!$F$21="Lektor Kepala",'LAMPIRAN I DONE'!$F$21="Guru Besar"),0.5,"")))),IF(OR(AND(L41="sks&gt;10",L40="sks&gt;10"),AND(L41="sks&gt;10",L40="sks&lt;=10")),I41*J41*IF('LAMPIRAN I DONE'!$F$21="Tenaga Pengajar",0.25,IF(OR('LAMPIRAN I DONE'!$F$21="Asisten Ahli",'LAMPIRAN I DONE'!$F$21="Lektor",'LAMPIRAN I DONE'!$F$21="Lektor Kepala",'LAMPIRAN I DONE'!$F$21="Guru Besar"),0.5,"")),I41*J41*IF('LAMPIRAN I DONE'!$F$21="Tenaga Pengajar",0.5,IF(OR('LAMPIRAN I DONE'!$F$21="Asisten Ahli",'LAMPIRAN I DONE'!$F$21="Lektor",'LAMPIRAN I DONE'!$F$21="Lektor Kepala",'LAMPIRAN I DONE'!$F$21="Guru Besar"),1,""))))),"rumus")</f>
        <v>rumus</v>
      </c>
      <c r="L41" s="27" t="str">
        <f>IF(AND(I41&lt;&gt;"",J41&lt;&gt;""),(IF(SUMPRODUCT($I$39:I41,$J$39:J41)&lt;=10,"SKS&lt;=10",IF(SUMPRODUCT($I$39:I41,$J$39:J41)&gt;10,"SKS&gt;10",""))),"rumus")</f>
        <v>rumus</v>
      </c>
    </row>
    <row r="42" spans="1:14" s="2" customFormat="1" ht="25.5" hidden="1" customHeight="1" x14ac:dyDescent="0.45">
      <c r="A42" s="67">
        <v>4</v>
      </c>
      <c r="B42" s="163" t="s">
        <v>81</v>
      </c>
      <c r="C42" s="28" t="s">
        <v>144</v>
      </c>
      <c r="D42" s="28" t="str">
        <f t="shared" si="7"/>
        <v/>
      </c>
      <c r="E42" s="256" t="str">
        <f>IF(K42&lt;&gt;"rumus",(IF(OR(AND(L42="sks&gt;10",L41="sks&lt;=10",IFERROR(SUMPRODUCT($I$38:I41,$J$38:J41)&lt;10,FALSE)),AND(L42="sks&gt;10",L41="")),(((10-SUMPRODUCT($I$38:I41,$J$38:J41))&amp;" x "&amp;1)&amp;"
"&amp;(((I42*J42)-(10-SUMPRODUCT($I$38:I41,$J$38:J41)))&amp;" x "&amp;1)),(I42&amp;" x "&amp;J42))),"")</f>
        <v/>
      </c>
      <c r="F42" s="256" t="str">
        <f>IF(K42&lt;&gt;"rumus",(IF(OR(AND(L42="sks&gt;10",L41="sks&lt;=10",IFERROR(SUMPRODUCT($I$38:I41,$J$38:J41)&lt;10,FALSE)),AND(L42="sks&gt;10",L41="")),((IF('LAMPIRAN I DONE'!$F$21="Tenaga Pengajar",0.5,IF(OR('LAMPIRAN I DONE'!$F$21="Asisten Ahli",'LAMPIRAN I DONE'!$F$21="Lektor",'LAMPIRAN I DONE'!$F$21="Lektor Kepala",'LAMPIRAN I DONE'!$F$21="Guru Besar"),1,"")))&amp;"
"&amp;(IF('LAMPIRAN I DONE'!$F$21="Tenaga Pengajar",0.25,IF(OR('LAMPIRAN I DONE'!$F$21="Asisten Ahli",'LAMPIRAN I DONE'!$F$21="Lektor",'LAMPIRAN I DONE'!$F$21="Lektor Kepala",'LAMPIRAN I DONE'!$F$21="Guru Besar"),0.5,"")))),((IF(OR(AND(L42="sks&gt;10",L41="sks&gt;10"),AND(L42="sks&gt;10",L41="sks&lt;=10")),IF('LAMPIRAN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f>
        <v/>
      </c>
      <c r="G42" s="105" t="str">
        <f>IF(K42&lt;&gt;"rumus",(IF(OR(AND(L42="sks&gt;10",L41="sks&lt;=10",IFERROR(SUMPRODUCT($I$38:I41,$J$38:J41)&lt;10,FALSE)),AND(L42="sks&gt;10",L41="")),(((10-SUMPRODUCT($I$38:I41,$J$38:J41))&amp;" x "&amp;1&amp;" x "&amp;IF('LAMPIRAN I DONE'!$F$21="Tenaga Pengajar",0.5,IF(OR('LAMPIRAN I DONE'!$F$21="Asisten Ahli",'LAMPIRAN I DONE'!$F$21="Lektor",'LAMPIRAN I DONE'!$F$21="Lektor Kepala",'LAMPIRAN I DONE'!$F$21="Guru Besar"),1,""))&amp;" = "&amp;((10-SUMPRODUCT($I$38:I41,$J$38:J41))*IF('LAMPIRAN I DONE'!$F$21="Tenaga Pengajar",0.5,IF(OR('LAMPIRAN I DONE'!$F$21="Asisten Ahli",'LAMPIRAN I DONE'!$F$21="Lektor",'LAMPIRAN I DONE'!$F$21="Lektor Kepala",'LAMPIRAN I DONE'!$F$21="Guru Besar"),1,""))))&amp;"
"&amp;(((I42*J42)-(10-SUMPRODUCT($I$38:I41,$J$38:J41)))&amp;" x "&amp;1&amp;" x "&amp;IF('LAMPIRAN I DONE'!$F$21="Tenaga Pengajar",0.25,IF(OR('LAMPIRAN I DONE'!$F$21="Asisten Ahli",'LAMPIRAN I DONE'!$F$21="Lektor",'LAMPIRAN I DONE'!$F$21="Lektor Kepala",'LAMPIRAN I DONE'!$F$21="Guru Besar"),0.5,""))&amp;" = "&amp;(((I42*J42)-(10-SUMPRODUCT($I$38:I41,$J$38:J41)))*IF('LAMPIRAN I DONE'!$F$21="Tenaga Pengajar",0.25,IF(OR('LAMPIRAN I DONE'!$F$21="Asisten Ahli",'LAMPIRAN I DONE'!$F$21="Lektor",'LAMPIRAN I DONE'!$F$21="Lektor Kepala",'LAMPIRAN I DONE'!$F$21="Guru Besar"),0.5,""))))),(I42&amp;" x "&amp;J42&amp;" x "&amp;(IF(OR(AND(L42="sks&gt;10",L41="sks&gt;10"),AND(L42="sks&gt;10",L41="sks&lt;=10")),IF('LAMPIRAN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Besar"),1,""))))&amp;" = "&amp;K42))),"rumus")</f>
        <v>rumus</v>
      </c>
      <c r="H42" s="28" t="s">
        <v>620</v>
      </c>
      <c r="I42" s="34"/>
      <c r="J42" s="34"/>
      <c r="K42" s="27" t="str">
        <f>IF(AND(I42&lt;&gt;"",J42&lt;&gt;""),(IF(OR(AND(L42="sks&gt;10",L41="sks&lt;=10",IFERROR(SUMPRODUCT($I$38:I41,$J$38:J41)&lt;10,FALSE)),AND(L42="sks&gt;10",L41="")),(((10-SUMPRODUCT($I$38:I41,$J$38:J41))*IF('LAMPIRAN I DONE'!$F$21="Tenaga Pengajar",0.5,IF(OR('LAMPIRAN I DONE'!$F$21="Asisten Ahli",'LAMPIRAN I DONE'!$F$21="Lektor",'LAMPIRAN I DONE'!$F$21="Lektor Kepala",'LAMPIRAN I DONE'!$F$21="Guru Besar"),1,"")))+(((I42*J42)-(10-SUMPRODUCT($I$38:I41,$J$38:J41)))*IF('LAMPIRAN I DONE'!$F$21="Tenaga Pengajar",0.25,IF(OR('LAMPIRAN I DONE'!$F$21="Asisten Ahli",'LAMPIRAN I DONE'!$F$21="Lektor",'LAMPIRAN I DONE'!$F$21="Lektor Kepala",'LAMPIRAN I DONE'!$F$21="Guru Besar"),0.5,"")))),IF(OR(AND(L42="sks&gt;10",L41="sks&gt;10"),AND(L42="sks&gt;10",L41="sks&lt;=10")),I42*J42*IF('LAMPIRAN I DONE'!$F$21="Tenaga Pengajar",0.25,IF(OR('LAMPIRAN I DONE'!$F$21="Asisten Ahli",'LAMPIRAN I DONE'!$F$21="Lektor",'LAMPIRAN I DONE'!$F$21="Lektor Kepala",'LAMPIRAN I DONE'!$F$21="Guru Besar"),0.5,"")),I42*J42*IF('LAMPIRAN I DONE'!$F$21="Tenaga Pengajar",0.5,IF(OR('LAMPIRAN I DONE'!$F$21="Asisten Ahli",'LAMPIRAN I DONE'!$F$21="Lektor",'LAMPIRAN I DONE'!$F$21="Lektor Kepala",'LAMPIRAN I DONE'!$F$21="Guru Besar"),1,""))))),"rumus")</f>
        <v>rumus</v>
      </c>
      <c r="L42" s="27" t="str">
        <f>IF(AND(I42&lt;&gt;"",J42&lt;&gt;""),(IF(SUMPRODUCT($I$39:I42,$J$39:J42)&lt;=10,"SKS&lt;=10",IF(SUMPRODUCT($I$39:I42,$J$39:J42)&gt;10,"SKS&gt;10",""))),"rumus")</f>
        <v>rumus</v>
      </c>
    </row>
    <row r="43" spans="1:14" s="2" customFormat="1" ht="25.5" hidden="1" customHeight="1" x14ac:dyDescent="0.45">
      <c r="A43" s="67">
        <v>5</v>
      </c>
      <c r="B43" s="163" t="s">
        <v>81</v>
      </c>
      <c r="C43" s="28" t="s">
        <v>144</v>
      </c>
      <c r="D43" s="28" t="str">
        <f t="shared" si="7"/>
        <v/>
      </c>
      <c r="E43" s="256" t="str">
        <f>IF(K43&lt;&gt;"rumus",(IF(OR(AND(L43="sks&gt;10",L42="sks&lt;=10",IFERROR(SUMPRODUCT($I$38:I42,$J$38:J42)&lt;10,FALSE)),AND(L43="sks&gt;10",L42="")),(((10-SUMPRODUCT($I$38:I42,$J$38:J42))&amp;" x "&amp;1)&amp;"
"&amp;(((I43*J43)-(10-SUMPRODUCT($I$38:I42,$J$38:J42)))&amp;" x "&amp;1)),(I43&amp;" x "&amp;J43))),"")</f>
        <v/>
      </c>
      <c r="F43" s="256" t="str">
        <f>IF(K43&lt;&gt;"rumus",(IF(OR(AND(L43="sks&gt;10",L42="sks&lt;=10",IFERROR(SUMPRODUCT($I$38:I42,$J$38:J42)&lt;10,FALSE)),AND(L43="sks&gt;10",L42="")),((IF('LAMPIRAN I DONE'!$F$21="Tenaga Pengajar",0.5,IF(OR('LAMPIRAN I DONE'!$F$21="Asisten Ahli",'LAMPIRAN I DONE'!$F$21="Lektor",'LAMPIRAN I DONE'!$F$21="Lektor Kepala",'LAMPIRAN I DONE'!$F$21="Guru Besar"),1,"")))&amp;"
"&amp;(IF('LAMPIRAN I DONE'!$F$21="Tenaga Pengajar",0.25,IF(OR('LAMPIRAN I DONE'!$F$21="Asisten Ahli",'LAMPIRAN I DONE'!$F$21="Lektor",'LAMPIRAN I DONE'!$F$21="Lektor Kepala",'LAMPIRAN I DONE'!$F$21="Guru Besar"),0.5,"")))),((IF(OR(AND(L43="sks&gt;10",L42="sks&gt;10"),AND(L43="sks&gt;10",L42="sks&lt;=10")),IF('LAMPIRAN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f>
        <v/>
      </c>
      <c r="G43" s="105" t="str">
        <f>IF(K43&lt;&gt;"rumus",(IF(OR(AND(L43="sks&gt;10",L42="sks&lt;=10",IFERROR(SUMPRODUCT($I$38:I42,$J$38:J42)&lt;10,FALSE)),AND(L43="sks&gt;10",L42="")),(((10-SUMPRODUCT($I$38:I42,$J$38:J42))&amp;" x "&amp;1&amp;" x "&amp;IF('LAMPIRAN I DONE'!$F$21="Tenaga Pengajar",0.5,IF(OR('LAMPIRAN I DONE'!$F$21="Asisten Ahli",'LAMPIRAN I DONE'!$F$21="Lektor",'LAMPIRAN I DONE'!$F$21="Lektor Kepala",'LAMPIRAN I DONE'!$F$21="Guru Besar"),1,""))&amp;" = "&amp;((10-SUMPRODUCT($I$38:I42,$J$38:J42))*IF('LAMPIRAN I DONE'!$F$21="Tenaga Pengajar",0.5,IF(OR('LAMPIRAN I DONE'!$F$21="Asisten Ahli",'LAMPIRAN I DONE'!$F$21="Lektor",'LAMPIRAN I DONE'!$F$21="Lektor Kepala",'LAMPIRAN I DONE'!$F$21="Guru Besar"),1,""))))&amp;"
"&amp;(((I43*J43)-(10-SUMPRODUCT($I$38:I42,$J$38:J42)))&amp;" x "&amp;1&amp;" x "&amp;IF('LAMPIRAN I DONE'!$F$21="Tenaga Pengajar",0.25,IF(OR('LAMPIRAN I DONE'!$F$21="Asisten Ahli",'LAMPIRAN I DONE'!$F$21="Lektor",'LAMPIRAN I DONE'!$F$21="Lektor Kepala",'LAMPIRAN I DONE'!$F$21="Guru Besar"),0.5,""))&amp;" = "&amp;(((I43*J43)-(10-SUMPRODUCT($I$38:I42,$J$38:J42)))*IF('LAMPIRAN I DONE'!$F$21="Tenaga Pengajar",0.25,IF(OR('LAMPIRAN I DONE'!$F$21="Asisten Ahli",'LAMPIRAN I DONE'!$F$21="Lektor",'LAMPIRAN I DONE'!$F$21="Lektor Kepala",'LAMPIRAN I DONE'!$F$21="Guru Besar"),0.5,""))))),(I43&amp;" x "&amp;J43&amp;" x "&amp;(IF(OR(AND(L43="sks&gt;10",L42="sks&gt;10"),AND(L43="sks&gt;10",L42="sks&lt;=10")),IF('LAMPIRAN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Besar"),1,""))))&amp;" = "&amp;K43))),"rumus")</f>
        <v>rumus</v>
      </c>
      <c r="H43" s="28" t="s">
        <v>620</v>
      </c>
      <c r="I43" s="34"/>
      <c r="J43" s="34"/>
      <c r="K43" s="27" t="str">
        <f>IF(AND(I43&lt;&gt;"",J43&lt;&gt;""),(IF(OR(AND(L43="sks&gt;10",L42="sks&lt;=10",IFERROR(SUMPRODUCT($I$38:I42,$J$38:J42)&lt;10,FALSE)),AND(L43="sks&gt;10",L42="")),(((10-SUMPRODUCT($I$38:I42,$J$38:J42))*IF('LAMPIRAN I DONE'!$F$21="Tenaga Pengajar",0.5,IF(OR('LAMPIRAN I DONE'!$F$21="Asisten Ahli",'LAMPIRAN I DONE'!$F$21="Lektor",'LAMPIRAN I DONE'!$F$21="Lektor Kepala",'LAMPIRAN I DONE'!$F$21="Guru Besar"),1,"")))+(((I43*J43)-(10-SUMPRODUCT($I$38:I42,$J$38:J42)))*IF('LAMPIRAN I DONE'!$F$21="Tenaga Pengajar",0.25,IF(OR('LAMPIRAN I DONE'!$F$21="Asisten Ahli",'LAMPIRAN I DONE'!$F$21="Lektor",'LAMPIRAN I DONE'!$F$21="Lektor Kepala",'LAMPIRAN I DONE'!$F$21="Guru Besar"),0.5,"")))),IF(OR(AND(L43="sks&gt;10",L42="sks&gt;10"),AND(L43="sks&gt;10",L42="sks&lt;=10")),I43*J43*IF('LAMPIRAN I DONE'!$F$21="Tenaga Pengajar",0.25,IF(OR('LAMPIRAN I DONE'!$F$21="Asisten Ahli",'LAMPIRAN I DONE'!$F$21="Lektor",'LAMPIRAN I DONE'!$F$21="Lektor Kepala",'LAMPIRAN I DONE'!$F$21="Guru Besar"),0.5,"")),I43*J43*IF('LAMPIRAN I DONE'!$F$21="Tenaga Pengajar",0.5,IF(OR('LAMPIRAN I DONE'!$F$21="Asisten Ahli",'LAMPIRAN I DONE'!$F$21="Lektor",'LAMPIRAN I DONE'!$F$21="Lektor Kepala",'LAMPIRAN I DONE'!$F$21="Guru Besar"),1,""))))),"rumus")</f>
        <v>rumus</v>
      </c>
      <c r="L43" s="27" t="str">
        <f>IF(AND(I43&lt;&gt;"",J43&lt;&gt;""),(IF(SUMPRODUCT($I$39:I43,$J$39:J43)&lt;=10,"SKS&lt;=10",IF(SUMPRODUCT($I$39:I43,$J$39:J43)&gt;10,"SKS&gt;10",""))),"rumus")</f>
        <v>rumus</v>
      </c>
    </row>
    <row r="44" spans="1:14" s="2" customFormat="1" ht="25.5" hidden="1" customHeight="1" x14ac:dyDescent="0.45">
      <c r="A44" s="67">
        <v>6</v>
      </c>
      <c r="B44" s="163" t="s">
        <v>81</v>
      </c>
      <c r="C44" s="28" t="s">
        <v>144</v>
      </c>
      <c r="D44" s="28" t="str">
        <f t="shared" si="7"/>
        <v/>
      </c>
      <c r="E44" s="256" t="str">
        <f>IF(K44&lt;&gt;"rumus",(IF(OR(AND(L44="sks&gt;10",L43="sks&lt;=10",IFERROR(SUMPRODUCT($I$38:I43,$J$38:J43)&lt;10,FALSE)),AND(L44="sks&gt;10",L43="")),(((10-SUMPRODUCT($I$38:I43,$J$38:J43))&amp;" x "&amp;1)&amp;"
"&amp;(((I44*J44)-(10-SUMPRODUCT($I$38:I43,$J$38:J43)))&amp;" x "&amp;1)),(I44&amp;" x "&amp;J44))),"")</f>
        <v/>
      </c>
      <c r="F44" s="256" t="str">
        <f>IF(K44&lt;&gt;"rumus",(IF(OR(AND(L44="sks&gt;10",L43="sks&lt;=10",IFERROR(SUMPRODUCT($I$38:I43,$J$38:J43)&lt;10,FALSE)),AND(L44="sks&gt;10",L43="")),((IF('LAMPIRAN I DONE'!$F$21="Tenaga Pengajar",0.5,IF(OR('LAMPIRAN I DONE'!$F$21="Asisten Ahli",'LAMPIRAN I DONE'!$F$21="Lektor",'LAMPIRAN I DONE'!$F$21="Lektor Kepala",'LAMPIRAN I DONE'!$F$21="Guru Besar"),1,"")))&amp;"
"&amp;(IF('LAMPIRAN I DONE'!$F$21="Tenaga Pengajar",0.25,IF(OR('LAMPIRAN I DONE'!$F$21="Asisten Ahli",'LAMPIRAN I DONE'!$F$21="Lektor",'LAMPIRAN I DONE'!$F$21="Lektor Kepala",'LAMPIRAN I DONE'!$F$21="Guru Besar"),0.5,"")))),((IF(OR(AND(L44="sks&gt;10",L43="sks&gt;10"),AND(L44="sks&gt;10",L43="sks&lt;=10")),IF('LAMPIRAN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f>
        <v/>
      </c>
      <c r="G44" s="105" t="str">
        <f>IF(K44&lt;&gt;"rumus",(IF(OR(AND(L44="sks&gt;10",L43="sks&lt;=10",IFERROR(SUMPRODUCT($I$38:I43,$J$38:J43)&lt;10,FALSE)),AND(L44="sks&gt;10",L43="")),(((10-SUMPRODUCT($I$38:I43,$J$38:J43))&amp;" x "&amp;1&amp;" x "&amp;IF('LAMPIRAN I DONE'!$F$21="Tenaga Pengajar",0.5,IF(OR('LAMPIRAN I DONE'!$F$21="Asisten Ahli",'LAMPIRAN I DONE'!$F$21="Lektor",'LAMPIRAN I DONE'!$F$21="Lektor Kepala",'LAMPIRAN I DONE'!$F$21="Guru Besar"),1,""))&amp;" = "&amp;((10-SUMPRODUCT($I$38:I43,$J$38:J43))*IF('LAMPIRAN I DONE'!$F$21="Tenaga Pengajar",0.5,IF(OR('LAMPIRAN I DONE'!$F$21="Asisten Ahli",'LAMPIRAN I DONE'!$F$21="Lektor",'LAMPIRAN I DONE'!$F$21="Lektor Kepala",'LAMPIRAN I DONE'!$F$21="Guru Besar"),1,""))))&amp;"
"&amp;(((I44*J44)-(10-SUMPRODUCT($I$38:I43,$J$38:J43)))&amp;" x "&amp;1&amp;" x "&amp;IF('LAMPIRAN I DONE'!$F$21="Tenaga Pengajar",0.25,IF(OR('LAMPIRAN I DONE'!$F$21="Asisten Ahli",'LAMPIRAN I DONE'!$F$21="Lektor",'LAMPIRAN I DONE'!$F$21="Lektor Kepala",'LAMPIRAN I DONE'!$F$21="Guru Besar"),0.5,""))&amp;" = "&amp;(((I44*J44)-(10-SUMPRODUCT($I$38:I43,$J$38:J43)))*IF('LAMPIRAN I DONE'!$F$21="Tenaga Pengajar",0.25,IF(OR('LAMPIRAN I DONE'!$F$21="Asisten Ahli",'LAMPIRAN I DONE'!$F$21="Lektor",'LAMPIRAN I DONE'!$F$21="Lektor Kepala",'LAMPIRAN I DONE'!$F$21="Guru Besar"),0.5,""))))),(I44&amp;" x "&amp;J44&amp;" x "&amp;(IF(OR(AND(L44="sks&gt;10",L43="sks&gt;10"),AND(L44="sks&gt;10",L43="sks&lt;=10")),IF('LAMPIRAN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Besar"),1,""))))&amp;" = "&amp;K44))),"rumus")</f>
        <v>rumus</v>
      </c>
      <c r="H44" s="28" t="s">
        <v>620</v>
      </c>
      <c r="I44" s="34"/>
      <c r="J44" s="34"/>
      <c r="K44" s="27" t="str">
        <f>IF(AND(I44&lt;&gt;"",J44&lt;&gt;""),(IF(OR(AND(L44="sks&gt;10",L43="sks&lt;=10",IFERROR(SUMPRODUCT($I$38:I43,$J$38:J43)&lt;10,FALSE)),AND(L44="sks&gt;10",L43="")),(((10-SUMPRODUCT($I$38:I43,$J$38:J43))*IF('LAMPIRAN I DONE'!$F$21="Tenaga Pengajar",0.5,IF(OR('LAMPIRAN I DONE'!$F$21="Asisten Ahli",'LAMPIRAN I DONE'!$F$21="Lektor",'LAMPIRAN I DONE'!$F$21="Lektor Kepala",'LAMPIRAN I DONE'!$F$21="Guru Besar"),1,"")))+(((I44*J44)-(10-SUMPRODUCT($I$38:I43,$J$38:J43)))*IF('LAMPIRAN I DONE'!$F$21="Tenaga Pengajar",0.25,IF(OR('LAMPIRAN I DONE'!$F$21="Asisten Ahli",'LAMPIRAN I DONE'!$F$21="Lektor",'LAMPIRAN I DONE'!$F$21="Lektor Kepala",'LAMPIRAN I DONE'!$F$21="Guru Besar"),0.5,"")))),IF(OR(AND(L44="sks&gt;10",L43="sks&gt;10"),AND(L44="sks&gt;10",L43="sks&lt;=10")),I44*J44*IF('LAMPIRAN I DONE'!$F$21="Tenaga Pengajar",0.25,IF(OR('LAMPIRAN I DONE'!$F$21="Asisten Ahli",'LAMPIRAN I DONE'!$F$21="Lektor",'LAMPIRAN I DONE'!$F$21="Lektor Kepala",'LAMPIRAN I DONE'!$F$21="Guru Besar"),0.5,"")),I44*J44*IF('LAMPIRAN I DONE'!$F$21="Tenaga Pengajar",0.5,IF(OR('LAMPIRAN I DONE'!$F$21="Asisten Ahli",'LAMPIRAN I DONE'!$F$21="Lektor",'LAMPIRAN I DONE'!$F$21="Lektor Kepala",'LAMPIRAN I DONE'!$F$21="Guru Besar"),1,""))))),"rumus")</f>
        <v>rumus</v>
      </c>
      <c r="L44" s="27" t="str">
        <f>IF(AND(I44&lt;&gt;"",J44&lt;&gt;""),(IF(SUMPRODUCT($I$39:I44,$J$39:J44)&lt;=10,"SKS&lt;=10",IF(SUMPRODUCT($I$39:I44,$J$39:J44)&gt;10,"SKS&gt;10",""))),"rumus")</f>
        <v>rumus</v>
      </c>
    </row>
    <row r="45" spans="1:14" s="110" customFormat="1" ht="15" hidden="1" customHeight="1" x14ac:dyDescent="0.45">
      <c r="A45" s="69"/>
      <c r="B45" s="168" t="str">
        <f>"a. Semester Gasal "&amp;IF(C46&lt;&gt;"",C46,"")&amp;" :"</f>
        <v>a. Semester Gasal 2008/2009 :</v>
      </c>
      <c r="C45" s="111"/>
      <c r="D45" s="111"/>
      <c r="E45" s="111"/>
      <c r="F45" s="111"/>
      <c r="G45" s="111"/>
      <c r="H45" s="112"/>
      <c r="I45" s="496"/>
      <c r="J45" s="496"/>
      <c r="M45" s="104">
        <f>IF((AND(N45="Max 5,5",SUM(K39:K44)&lt;=5.5)),SUM(K39:K44),IF((AND(N45="Max 5,5",SUM(K39:K44)&gt;5.5)),5.5,IF((AND(N45="Max 11",SUM(K39:K44)&lt;=11)),SUM(K39:K44),IF((AND(N45="Max 11",SUM(K39:K44)&gt;11)),11,""))))</f>
        <v>0</v>
      </c>
      <c r="N45" s="33" t="str">
        <f>IF('LAMPIRAN I DONE'!$F$21="Tenaga Pengajar","Max 5,5",IF(OR('LAMPIRAN I DONE'!$F$21="Asisten Ahli",'LAMPIRAN I DONE'!$F$21="Lektor",'LAMPIRAN I DONE'!$F$21="Lektor Kepala",'LAMPIRAN I DONE'!$F$21="Guru Besar"),"Max 11",""))</f>
        <v>Max 11</v>
      </c>
    </row>
    <row r="46" spans="1:14" s="2" customFormat="1" ht="25.5" hidden="1" customHeight="1" x14ac:dyDescent="0.45">
      <c r="A46" s="67">
        <v>1</v>
      </c>
      <c r="B46" s="163" t="s">
        <v>81</v>
      </c>
      <c r="C46" s="28" t="s">
        <v>145</v>
      </c>
      <c r="D46" s="28" t="str">
        <f>IF(G46&lt;&gt;"rumus","SKS","")</f>
        <v/>
      </c>
      <c r="E46" s="256" t="str">
        <f>IF(K46&lt;&gt;"rumus",(IF(OR(AND(L46="sks&gt;10",L45="sks&lt;=10",IFERROR(SUMPRODUCT($I$45:I45,$J$45:J45)&lt;10,FALSE)),AND(L46="sks&gt;10",L45="")),(((10-SUMPRODUCT($I$45:I45,$J$45:J45))&amp;" x "&amp;1)&amp;"
"&amp;(((I46*J46)-(10-SUMPRODUCT($I$45:I45,$J$45:J45)))&amp;" x "&amp;1)),(I46&amp;" x "&amp;J46))),"")</f>
        <v/>
      </c>
      <c r="F46" s="256" t="str">
        <f>IF(K46&lt;&gt;"rumus",(IF(OR(AND(L46="sks&gt;10",L45="sks&lt;=10",IFERROR(SUMPRODUCT($I$45:I45,$J$45:J45)&lt;10,FALSE)),AND(L46="sks&gt;10",L45="")),((IF('LAMPIRAN I DONE'!$F$21="Tenaga Pengajar",0.5,IF(OR('LAMPIRAN I DONE'!$F$21="Asisten Ahli",'LAMPIRAN I DONE'!$F$21="Lektor",'LAMPIRAN I DONE'!$F$21="Lektor Kepala",'LAMPIRAN I DONE'!$F$21="Guru Besar"),1,"")))&amp;"
"&amp;(IF('LAMPIRAN I DONE'!$F$21="Tenaga Pengajar",0.25,IF(OR('LAMPIRAN I DONE'!$F$21="Asisten Ahli",'LAMPIRAN I DONE'!$F$21="Lektor",'LAMPIRAN I DONE'!$F$21="Lektor Kepala",'LAMPIRAN I DONE'!$F$21="Guru Besar"),0.5,"")))),((IF(OR(AND(L46="sks&gt;10",L45="sks&gt;10"),AND(L46="sks&gt;10",L45="sks&lt;=10")),IF('LAMPIRAN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f>
        <v/>
      </c>
      <c r="G46" s="105" t="str">
        <f>IF(K46&lt;&gt;"rumus",(IF(OR(AND(L46="sks&gt;10",L45="sks&lt;=10",IFERROR(SUMPRODUCT($I$45:I45,$J$45:J45)&lt;10,FALSE)),AND(L46="sks&gt;10",L45="")),(((10-SUMPRODUCT($I$45:I45,$J$45:J45))&amp;" x "&amp;1&amp;" x "&amp;IF('LAMPIRAN I DONE'!$F$21="Tenaga Pengajar",0.5,IF(OR('LAMPIRAN I DONE'!$F$21="Asisten Ahli",'LAMPIRAN I DONE'!$F$21="Lektor",'LAMPIRAN I DONE'!$F$21="Lektor Kepala",'LAMPIRAN I DONE'!$F$21="Guru Besar"),1,""))&amp;" = "&amp;((10-SUMPRODUCT($I$45:I45,$J$45:J45))*IF('LAMPIRAN I DONE'!$F$21="Tenaga Pengajar",0.5,IF(OR('LAMPIRAN I DONE'!$F$21="Asisten Ahli",'LAMPIRAN I DONE'!$F$21="Lektor",'LAMPIRAN I DONE'!$F$21="Lektor Kepala",'LAMPIRAN I DONE'!$F$21="Guru Besar"),1,""))))&amp;"
"&amp;(((I46*J46)-(10-SUMPRODUCT($I$45:I45,$J$45:J45)))&amp;" x "&amp;1&amp;" x "&amp;IF('LAMPIRAN I DONE'!$F$21="Tenaga Pengajar",0.25,IF(OR('LAMPIRAN I DONE'!$F$21="Asisten Ahli",'LAMPIRAN I DONE'!$F$21="Lektor",'LAMPIRAN I DONE'!$F$21="Lektor Kepala",'LAMPIRAN I DONE'!$F$21="Guru Besar"),0.5,""))&amp;" = "&amp;(((I46*J46)-(10-SUMPRODUCT($I$45:I45,$J$45:J45)))*IF('LAMPIRAN I DONE'!$F$21="Tenaga Pengajar",0.25,IF(OR('LAMPIRAN I DONE'!$F$21="Asisten Ahli",'LAMPIRAN I DONE'!$F$21="Lektor",'LAMPIRAN I DONE'!$F$21="Lektor Kepala",'LAMPIRAN I DONE'!$F$21="Guru Besar"),0.5,""))))),(I46&amp;" x "&amp;J46&amp;" x "&amp;(IF(OR(AND(L46="sks&gt;10",L45="sks&gt;10"),AND(L46="sks&gt;10",L45="sks&lt;=10")),IF('LAMPIRAN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Besar"),1,""))))&amp;" = "&amp;K46))),"rumus")</f>
        <v>rumus</v>
      </c>
      <c r="H46" s="28" t="s">
        <v>620</v>
      </c>
      <c r="I46" s="34"/>
      <c r="J46" s="34"/>
      <c r="K46" s="27" t="str">
        <f>IF(AND(I46&lt;&gt;"",J46&lt;&gt;""),(IF(OR(AND(L46="sks&gt;10",L45="sks&lt;=10",IFERROR(SUMPRODUCT($I$45:I45,$J$45:J45)&lt;10,FALSE)),AND(L46="sks&gt;10",L45="")),(((10-SUMPRODUCT($I$45:I45,$J$45:J45))*IF('LAMPIRAN I DONE'!$F$21="Tenaga Pengajar",0.5,IF(OR('LAMPIRAN I DONE'!$F$21="Asisten Ahli",'LAMPIRAN I DONE'!$F$21="Lektor",'LAMPIRAN I DONE'!$F$21="Lektor Kepala",'LAMPIRAN I DONE'!$F$21="Guru Besar"),1,"")))+(((I46*J46)-(10-SUMPRODUCT($I$45:I45,$J$45:J45)))*IF('LAMPIRAN I DONE'!$F$21="Tenaga Pengajar",0.25,IF(OR('LAMPIRAN I DONE'!$F$21="Asisten Ahli",'LAMPIRAN I DONE'!$F$21="Lektor",'LAMPIRAN I DONE'!$F$21="Lektor Kepala",'LAMPIRAN I DONE'!$F$21="Guru Besar"),0.5,"")))),IF(OR(AND(L46="sks&gt;10",L45="sks&gt;10"),AND(L46="sks&gt;10",L45="sks&lt;=10")),I46*J46*IF('LAMPIRAN I DONE'!$F$21="Tenaga Pengajar",0.25,IF(OR('LAMPIRAN I DONE'!$F$21="Asisten Ahli",'LAMPIRAN I DONE'!$F$21="Lektor",'LAMPIRAN I DONE'!$F$21="Lektor Kepala",'LAMPIRAN I DONE'!$F$21="Guru Besar"),0.5,"")),I46*J46*IF('LAMPIRAN I DONE'!$F$21="Tenaga Pengajar",0.5,IF(OR('LAMPIRAN I DONE'!$F$21="Asisten Ahli",'LAMPIRAN I DONE'!$F$21="Lektor",'LAMPIRAN I DONE'!$F$21="Lektor Kepala",'LAMPIRAN I DONE'!$F$21="Guru Besar"),1,""))))),"rumus")</f>
        <v>rumus</v>
      </c>
      <c r="L46" s="27" t="str">
        <f>IF(AND(I46&lt;&gt;"",J46&lt;&gt;""),(IF(SUMPRODUCT($I$46:I46,$J$46:J46)&lt;=10,"SKS&lt;=10",IF(SUMPRODUCT($I$46:I46,$J$46:J46)&gt;10,"SKS&gt;10",""))),"rumus")</f>
        <v>rumus</v>
      </c>
    </row>
    <row r="47" spans="1:14" s="2" customFormat="1" ht="25.5" hidden="1" customHeight="1" x14ac:dyDescent="0.45">
      <c r="A47" s="67">
        <v>2</v>
      </c>
      <c r="B47" s="163" t="s">
        <v>81</v>
      </c>
      <c r="C47" s="28" t="s">
        <v>145</v>
      </c>
      <c r="D47" s="28" t="str">
        <f t="shared" ref="D47:D51" si="8">IF(G47&lt;&gt;"rumus","SKS","")</f>
        <v/>
      </c>
      <c r="E47" s="256" t="str">
        <f>IF(K47&lt;&gt;"rumus",(IF(OR(AND(L47="sks&gt;10",L46="sks&lt;=10",IFERROR(SUMPRODUCT($I$45:I46,$J$45:J46)&lt;10,FALSE)),AND(L47="sks&gt;10",L46="")),(((10-SUMPRODUCT($I$45:I46,$J$45:J46))&amp;" x "&amp;1)&amp;"
"&amp;(((I47*J47)-(10-SUMPRODUCT($I$45:I46,$J$45:J46)))&amp;" x "&amp;1)),(I47&amp;" x "&amp;J47))),"")</f>
        <v/>
      </c>
      <c r="F47" s="256" t="str">
        <f>IF(K47&lt;&gt;"rumus",(IF(OR(AND(L47="sks&gt;10",L46="sks&lt;=10",IFERROR(SUMPRODUCT($I$45:I46,$J$45:J46)&lt;10,FALSE)),AND(L47="sks&gt;10",L46="")),((IF('LAMPIRAN I DONE'!$F$21="Tenaga Pengajar",0.5,IF(OR('LAMPIRAN I DONE'!$F$21="Asisten Ahli",'LAMPIRAN I DONE'!$F$21="Lektor",'LAMPIRAN I DONE'!$F$21="Lektor Kepala",'LAMPIRAN I DONE'!$F$21="Guru Besar"),1,"")))&amp;"
"&amp;(IF('LAMPIRAN I DONE'!$F$21="Tenaga Pengajar",0.25,IF(OR('LAMPIRAN I DONE'!$F$21="Asisten Ahli",'LAMPIRAN I DONE'!$F$21="Lektor",'LAMPIRAN I DONE'!$F$21="Lektor Kepala",'LAMPIRAN I DONE'!$F$21="Guru Besar"),0.5,"")))),((IF(OR(AND(L47="sks&gt;10",L46="sks&gt;10"),AND(L47="sks&gt;10",L46="sks&lt;=10")),IF('LAMPIRAN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f>
        <v/>
      </c>
      <c r="G47" s="105" t="str">
        <f>IF(K47&lt;&gt;"rumus",(IF(OR(AND(L47="sks&gt;10",L46="sks&lt;=10",IFERROR(SUMPRODUCT($I$45:I46,$J$45:J46)&lt;10,FALSE)),AND(L47="sks&gt;10",L46="")),(((10-SUMPRODUCT($I$45:I46,$J$45:J46))&amp;" x "&amp;1&amp;" x "&amp;IF('LAMPIRAN I DONE'!$F$21="Tenaga Pengajar",0.5,IF(OR('LAMPIRAN I DONE'!$F$21="Asisten Ahli",'LAMPIRAN I DONE'!$F$21="Lektor",'LAMPIRAN I DONE'!$F$21="Lektor Kepala",'LAMPIRAN I DONE'!$F$21="Guru Besar"),1,""))&amp;" = "&amp;((10-SUMPRODUCT($I$45:I46,$J$45:J46))*IF('LAMPIRAN I DONE'!$F$21="Tenaga Pengajar",0.5,IF(OR('LAMPIRAN I DONE'!$F$21="Asisten Ahli",'LAMPIRAN I DONE'!$F$21="Lektor",'LAMPIRAN I DONE'!$F$21="Lektor Kepala",'LAMPIRAN I DONE'!$F$21="Guru Besar"),1,""))))&amp;"
"&amp;(((I47*J47)-(10-SUMPRODUCT($I$45:I46,$J$45:J46)))&amp;" x "&amp;1&amp;" x "&amp;IF('LAMPIRAN I DONE'!$F$21="Tenaga Pengajar",0.25,IF(OR('LAMPIRAN I DONE'!$F$21="Asisten Ahli",'LAMPIRAN I DONE'!$F$21="Lektor",'LAMPIRAN I DONE'!$F$21="Lektor Kepala",'LAMPIRAN I DONE'!$F$21="Guru Besar"),0.5,""))&amp;" = "&amp;(((I47*J47)-(10-SUMPRODUCT($I$45:I46,$J$45:J46)))*IF('LAMPIRAN I DONE'!$F$21="Tenaga Pengajar",0.25,IF(OR('LAMPIRAN I DONE'!$F$21="Asisten Ahli",'LAMPIRAN I DONE'!$F$21="Lektor",'LAMPIRAN I DONE'!$F$21="Lektor Kepala",'LAMPIRAN I DONE'!$F$21="Guru Besar"),0.5,""))))),(I47&amp;" x "&amp;J47&amp;" x "&amp;(IF(OR(AND(L47="sks&gt;10",L46="sks&gt;10"),AND(L47="sks&gt;10",L46="sks&lt;=10")),IF('LAMPIRAN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Besar"),1,""))))&amp;" = "&amp;K47))),"rumus")</f>
        <v>rumus</v>
      </c>
      <c r="H47" s="28" t="s">
        <v>620</v>
      </c>
      <c r="I47" s="34"/>
      <c r="J47" s="34"/>
      <c r="K47" s="27" t="str">
        <f>IF(AND(I47&lt;&gt;"",J47&lt;&gt;""),(IF(OR(AND(L47="sks&gt;10",L46="sks&lt;=10",IFERROR(SUMPRODUCT($I$45:I46,$J$45:J46)&lt;10,FALSE)),AND(L47="sks&gt;10",L46="")),(((10-SUMPRODUCT($I$45:I46,$J$45:J46))*IF('LAMPIRAN I DONE'!$F$21="Tenaga Pengajar",0.5,IF(OR('LAMPIRAN I DONE'!$F$21="Asisten Ahli",'LAMPIRAN I DONE'!$F$21="Lektor",'LAMPIRAN I DONE'!$F$21="Lektor Kepala",'LAMPIRAN I DONE'!$F$21="Guru Besar"),1,"")))+(((I47*J47)-(10-SUMPRODUCT($I$45:I46,$J$45:J46)))*IF('LAMPIRAN I DONE'!$F$21="Tenaga Pengajar",0.25,IF(OR('LAMPIRAN I DONE'!$F$21="Asisten Ahli",'LAMPIRAN I DONE'!$F$21="Lektor",'LAMPIRAN I DONE'!$F$21="Lektor Kepala",'LAMPIRAN I DONE'!$F$21="Guru Besar"),0.5,"")))),IF(OR(AND(L47="sks&gt;10",L46="sks&gt;10"),AND(L47="sks&gt;10",L46="sks&lt;=10")),I47*J47*IF('LAMPIRAN I DONE'!$F$21="Tenaga Pengajar",0.25,IF(OR('LAMPIRAN I DONE'!$F$21="Asisten Ahli",'LAMPIRAN I DONE'!$F$21="Lektor",'LAMPIRAN I DONE'!$F$21="Lektor Kepala",'LAMPIRAN I DONE'!$F$21="Guru Besar"),0.5,"")),I47*J47*IF('LAMPIRAN I DONE'!$F$21="Tenaga Pengajar",0.5,IF(OR('LAMPIRAN I DONE'!$F$21="Asisten Ahli",'LAMPIRAN I DONE'!$F$21="Lektor",'LAMPIRAN I DONE'!$F$21="Lektor Kepala",'LAMPIRAN I DONE'!$F$21="Guru Besar"),1,""))))),"rumus")</f>
        <v>rumus</v>
      </c>
      <c r="L47" s="27" t="str">
        <f>IF(AND(I47&lt;&gt;"",J47&lt;&gt;""),(IF(SUMPRODUCT($I$46:I47,$J$46:J47)&lt;=10,"SKS&lt;=10",IF(SUMPRODUCT($I$46:I47,$J$46:J47)&gt;10,"SKS&gt;10",""))),"rumus")</f>
        <v>rumus</v>
      </c>
    </row>
    <row r="48" spans="1:14" s="2" customFormat="1" ht="25.5" hidden="1" customHeight="1" x14ac:dyDescent="0.45">
      <c r="A48" s="67">
        <v>3</v>
      </c>
      <c r="B48" s="163" t="s">
        <v>81</v>
      </c>
      <c r="C48" s="28" t="s">
        <v>145</v>
      </c>
      <c r="D48" s="28" t="str">
        <f t="shared" si="8"/>
        <v/>
      </c>
      <c r="E48" s="256" t="str">
        <f>IF(K48&lt;&gt;"rumus",(IF(OR(AND(L48="sks&gt;10",L47="sks&lt;=10",IFERROR(SUMPRODUCT($I$45:I47,$J$45:J47)&lt;10,FALSE)),AND(L48="sks&gt;10",L47="")),(((10-SUMPRODUCT($I$45:I47,$J$45:J47))&amp;" x "&amp;1)&amp;"
"&amp;(((I48*J48)-(10-SUMPRODUCT($I$45:I47,$J$45:J47)))&amp;" x "&amp;1)),(I48&amp;" x "&amp;J48))),"")</f>
        <v/>
      </c>
      <c r="F48" s="256" t="str">
        <f>IF(K48&lt;&gt;"rumus",(IF(OR(AND(L48="sks&gt;10",L47="sks&lt;=10",IFERROR(SUMPRODUCT($I$45:I47,$J$45:J47)&lt;10,FALSE)),AND(L48="sks&gt;10",L47="")),((IF('LAMPIRAN I DONE'!$F$21="Tenaga Pengajar",0.5,IF(OR('LAMPIRAN I DONE'!$F$21="Asisten Ahli",'LAMPIRAN I DONE'!$F$21="Lektor",'LAMPIRAN I DONE'!$F$21="Lektor Kepala",'LAMPIRAN I DONE'!$F$21="Guru Besar"),1,"")))&amp;"
"&amp;(IF('LAMPIRAN I DONE'!$F$21="Tenaga Pengajar",0.25,IF(OR('LAMPIRAN I DONE'!$F$21="Asisten Ahli",'LAMPIRAN I DONE'!$F$21="Lektor",'LAMPIRAN I DONE'!$F$21="Lektor Kepala",'LAMPIRAN I DONE'!$F$21="Guru Besar"),0.5,"")))),((IF(OR(AND(L48="sks&gt;10",L47="sks&gt;10"),AND(L48="sks&gt;10",L47="sks&lt;=10")),IF('LAMPIRAN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f>
        <v/>
      </c>
      <c r="G48" s="105" t="str">
        <f>IF(K48&lt;&gt;"rumus",(IF(OR(AND(L48="sks&gt;10",L47="sks&lt;=10",IFERROR(SUMPRODUCT($I$45:I47,$J$45:J47)&lt;10,FALSE)),AND(L48="sks&gt;10",L47="")),(((10-SUMPRODUCT($I$45:I47,$J$45:J47))&amp;" x "&amp;1&amp;" x "&amp;IF('LAMPIRAN I DONE'!$F$21="Tenaga Pengajar",0.5,IF(OR('LAMPIRAN I DONE'!$F$21="Asisten Ahli",'LAMPIRAN I DONE'!$F$21="Lektor",'LAMPIRAN I DONE'!$F$21="Lektor Kepala",'LAMPIRAN I DONE'!$F$21="Guru Besar"),1,""))&amp;" = "&amp;((10-SUMPRODUCT($I$45:I47,$J$45:J47))*IF('LAMPIRAN I DONE'!$F$21="Tenaga Pengajar",0.5,IF(OR('LAMPIRAN I DONE'!$F$21="Asisten Ahli",'LAMPIRAN I DONE'!$F$21="Lektor",'LAMPIRAN I DONE'!$F$21="Lektor Kepala",'LAMPIRAN I DONE'!$F$21="Guru Besar"),1,""))))&amp;"
"&amp;(((I48*J48)-(10-SUMPRODUCT($I$45:I47,$J$45:J47)))&amp;" x "&amp;1&amp;" x "&amp;IF('LAMPIRAN I DONE'!$F$21="Tenaga Pengajar",0.25,IF(OR('LAMPIRAN I DONE'!$F$21="Asisten Ahli",'LAMPIRAN I DONE'!$F$21="Lektor",'LAMPIRAN I DONE'!$F$21="Lektor Kepala",'LAMPIRAN I DONE'!$F$21="Guru Besar"),0.5,""))&amp;" = "&amp;(((I48*J48)-(10-SUMPRODUCT($I$45:I47,$J$45:J47)))*IF('LAMPIRAN I DONE'!$F$21="Tenaga Pengajar",0.25,IF(OR('LAMPIRAN I DONE'!$F$21="Asisten Ahli",'LAMPIRAN I DONE'!$F$21="Lektor",'LAMPIRAN I DONE'!$F$21="Lektor Kepala",'LAMPIRAN I DONE'!$F$21="Guru Besar"),0.5,""))))),(I48&amp;" x "&amp;J48&amp;" x "&amp;(IF(OR(AND(L48="sks&gt;10",L47="sks&gt;10"),AND(L48="sks&gt;10",L47="sks&lt;=10")),IF('LAMPIRAN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Besar"),1,""))))&amp;" = "&amp;K48))),"rumus")</f>
        <v>rumus</v>
      </c>
      <c r="H48" s="28" t="s">
        <v>620</v>
      </c>
      <c r="I48" s="34"/>
      <c r="J48" s="34"/>
      <c r="K48" s="27" t="str">
        <f>IF(AND(I48&lt;&gt;"",J48&lt;&gt;""),(IF(OR(AND(L48="sks&gt;10",L47="sks&lt;=10",IFERROR(SUMPRODUCT($I$45:I47,$J$45:J47)&lt;10,FALSE)),AND(L48="sks&gt;10",L47="")),(((10-SUMPRODUCT($I$45:I47,$J$45:J47))*IF('LAMPIRAN I DONE'!$F$21="Tenaga Pengajar",0.5,IF(OR('LAMPIRAN I DONE'!$F$21="Asisten Ahli",'LAMPIRAN I DONE'!$F$21="Lektor",'LAMPIRAN I DONE'!$F$21="Lektor Kepala",'LAMPIRAN I DONE'!$F$21="Guru Besar"),1,"")))+(((I48*J48)-(10-SUMPRODUCT($I$45:I47,$J$45:J47)))*IF('LAMPIRAN I DONE'!$F$21="Tenaga Pengajar",0.25,IF(OR('LAMPIRAN I DONE'!$F$21="Asisten Ahli",'LAMPIRAN I DONE'!$F$21="Lektor",'LAMPIRAN I DONE'!$F$21="Lektor Kepala",'LAMPIRAN I DONE'!$F$21="Guru Besar"),0.5,"")))),IF(OR(AND(L48="sks&gt;10",L47="sks&gt;10"),AND(L48="sks&gt;10",L47="sks&lt;=10")),I48*J48*IF('LAMPIRAN I DONE'!$F$21="Tenaga Pengajar",0.25,IF(OR('LAMPIRAN I DONE'!$F$21="Asisten Ahli",'LAMPIRAN I DONE'!$F$21="Lektor",'LAMPIRAN I DONE'!$F$21="Lektor Kepala",'LAMPIRAN I DONE'!$F$21="Guru Besar"),0.5,"")),I48*J48*IF('LAMPIRAN I DONE'!$F$21="Tenaga Pengajar",0.5,IF(OR('LAMPIRAN I DONE'!$F$21="Asisten Ahli",'LAMPIRAN I DONE'!$F$21="Lektor",'LAMPIRAN I DONE'!$F$21="Lektor Kepala",'LAMPIRAN I DONE'!$F$21="Guru Besar"),1,""))))),"rumus")</f>
        <v>rumus</v>
      </c>
      <c r="L48" s="27" t="str">
        <f>IF(AND(I48&lt;&gt;"",J48&lt;&gt;""),(IF(SUMPRODUCT($I$46:I48,$J$46:J48)&lt;=10,"SKS&lt;=10",IF(SUMPRODUCT($I$46:I48,$J$46:J48)&gt;10,"SKS&gt;10",""))),"rumus")</f>
        <v>rumus</v>
      </c>
    </row>
    <row r="49" spans="1:14" s="2" customFormat="1" ht="25.5" hidden="1" customHeight="1" x14ac:dyDescent="0.45">
      <c r="A49" s="67">
        <v>4</v>
      </c>
      <c r="B49" s="163" t="s">
        <v>81</v>
      </c>
      <c r="C49" s="28" t="s">
        <v>145</v>
      </c>
      <c r="D49" s="28" t="str">
        <f t="shared" si="8"/>
        <v/>
      </c>
      <c r="E49" s="256" t="str">
        <f>IF(K49&lt;&gt;"rumus",(IF(OR(AND(L49="sks&gt;10",L48="sks&lt;=10",IFERROR(SUMPRODUCT($I$45:I48,$J$45:J48)&lt;10,FALSE)),AND(L49="sks&gt;10",L48="")),(((10-SUMPRODUCT($I$45:I48,$J$45:J48))&amp;" x "&amp;1)&amp;"
"&amp;(((I49*J49)-(10-SUMPRODUCT($I$45:I48,$J$45:J48)))&amp;" x "&amp;1)),(I49&amp;" x "&amp;J49))),"")</f>
        <v/>
      </c>
      <c r="F49" s="256" t="str">
        <f>IF(K49&lt;&gt;"rumus",(IF(OR(AND(L49="sks&gt;10",L48="sks&lt;=10",IFERROR(SUMPRODUCT($I$45:I48,$J$45:J48)&lt;10,FALSE)),AND(L49="sks&gt;10",L48="")),((IF('LAMPIRAN I DONE'!$F$21="Tenaga Pengajar",0.5,IF(OR('LAMPIRAN I DONE'!$F$21="Asisten Ahli",'LAMPIRAN I DONE'!$F$21="Lektor",'LAMPIRAN I DONE'!$F$21="Lektor Kepala",'LAMPIRAN I DONE'!$F$21="Guru Besar"),1,"")))&amp;"
"&amp;(IF('LAMPIRAN I DONE'!$F$21="Tenaga Pengajar",0.25,IF(OR('LAMPIRAN I DONE'!$F$21="Asisten Ahli",'LAMPIRAN I DONE'!$F$21="Lektor",'LAMPIRAN I DONE'!$F$21="Lektor Kepala",'LAMPIRAN I DONE'!$F$21="Guru Besar"),0.5,"")))),((IF(OR(AND(L49="sks&gt;10",L48="sks&gt;10"),AND(L49="sks&gt;10",L48="sks&lt;=10")),IF('LAMPIRAN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f>
        <v/>
      </c>
      <c r="G49" s="105" t="str">
        <f>IF(K49&lt;&gt;"rumus",(IF(OR(AND(L49="sks&gt;10",L48="sks&lt;=10",IFERROR(SUMPRODUCT($I$45:I48,$J$45:J48)&lt;10,FALSE)),AND(L49="sks&gt;10",L48="")),(((10-SUMPRODUCT($I$45:I48,$J$45:J48))&amp;" x "&amp;1&amp;" x "&amp;IF('LAMPIRAN I DONE'!$F$21="Tenaga Pengajar",0.5,IF(OR('LAMPIRAN I DONE'!$F$21="Asisten Ahli",'LAMPIRAN I DONE'!$F$21="Lektor",'LAMPIRAN I DONE'!$F$21="Lektor Kepala",'LAMPIRAN I DONE'!$F$21="Guru Besar"),1,""))&amp;" = "&amp;((10-SUMPRODUCT($I$45:I48,$J$45:J48))*IF('LAMPIRAN I DONE'!$F$21="Tenaga Pengajar",0.5,IF(OR('LAMPIRAN I DONE'!$F$21="Asisten Ahli",'LAMPIRAN I DONE'!$F$21="Lektor",'LAMPIRAN I DONE'!$F$21="Lektor Kepala",'LAMPIRAN I DONE'!$F$21="Guru Besar"),1,""))))&amp;"
"&amp;(((I49*J49)-(10-SUMPRODUCT($I$45:I48,$J$45:J48)))&amp;" x "&amp;1&amp;" x "&amp;IF('LAMPIRAN I DONE'!$F$21="Tenaga Pengajar",0.25,IF(OR('LAMPIRAN I DONE'!$F$21="Asisten Ahli",'LAMPIRAN I DONE'!$F$21="Lektor",'LAMPIRAN I DONE'!$F$21="Lektor Kepala",'LAMPIRAN I DONE'!$F$21="Guru Besar"),0.5,""))&amp;" = "&amp;(((I49*J49)-(10-SUMPRODUCT($I$45:I48,$J$45:J48)))*IF('LAMPIRAN I DONE'!$F$21="Tenaga Pengajar",0.25,IF(OR('LAMPIRAN I DONE'!$F$21="Asisten Ahli",'LAMPIRAN I DONE'!$F$21="Lektor",'LAMPIRAN I DONE'!$F$21="Lektor Kepala",'LAMPIRAN I DONE'!$F$21="Guru Besar"),0.5,""))))),(I49&amp;" x "&amp;J49&amp;" x "&amp;(IF(OR(AND(L49="sks&gt;10",L48="sks&gt;10"),AND(L49="sks&gt;10",L48="sks&lt;=10")),IF('LAMPIRAN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Besar"),1,""))))&amp;" = "&amp;K49))),"rumus")</f>
        <v>rumus</v>
      </c>
      <c r="H49" s="28" t="s">
        <v>620</v>
      </c>
      <c r="I49" s="34"/>
      <c r="J49" s="34"/>
      <c r="K49" s="27" t="str">
        <f>IF(AND(I49&lt;&gt;"",J49&lt;&gt;""),(IF(OR(AND(L49="sks&gt;10",L48="sks&lt;=10",IFERROR(SUMPRODUCT($I$45:I48,$J$45:J48)&lt;10,FALSE)),AND(L49="sks&gt;10",L48="")),(((10-SUMPRODUCT($I$45:I48,$J$45:J48))*IF('LAMPIRAN I DONE'!$F$21="Tenaga Pengajar",0.5,IF(OR('LAMPIRAN I DONE'!$F$21="Asisten Ahli",'LAMPIRAN I DONE'!$F$21="Lektor",'LAMPIRAN I DONE'!$F$21="Lektor Kepala",'LAMPIRAN I DONE'!$F$21="Guru Besar"),1,"")))+(((I49*J49)-(10-SUMPRODUCT($I$45:I48,$J$45:J48)))*IF('LAMPIRAN I DONE'!$F$21="Tenaga Pengajar",0.25,IF(OR('LAMPIRAN I DONE'!$F$21="Asisten Ahli",'LAMPIRAN I DONE'!$F$21="Lektor",'LAMPIRAN I DONE'!$F$21="Lektor Kepala",'LAMPIRAN I DONE'!$F$21="Guru Besar"),0.5,"")))),IF(OR(AND(L49="sks&gt;10",L48="sks&gt;10"),AND(L49="sks&gt;10",L48="sks&lt;=10")),I49*J49*IF('LAMPIRAN I DONE'!$F$21="Tenaga Pengajar",0.25,IF(OR('LAMPIRAN I DONE'!$F$21="Asisten Ahli",'LAMPIRAN I DONE'!$F$21="Lektor",'LAMPIRAN I DONE'!$F$21="Lektor Kepala",'LAMPIRAN I DONE'!$F$21="Guru Besar"),0.5,"")),I49*J49*IF('LAMPIRAN I DONE'!$F$21="Tenaga Pengajar",0.5,IF(OR('LAMPIRAN I DONE'!$F$21="Asisten Ahli",'LAMPIRAN I DONE'!$F$21="Lektor",'LAMPIRAN I DONE'!$F$21="Lektor Kepala",'LAMPIRAN I DONE'!$F$21="Guru Besar"),1,""))))),"rumus")</f>
        <v>rumus</v>
      </c>
      <c r="L49" s="27" t="str">
        <f>IF(AND(I49&lt;&gt;"",J49&lt;&gt;""),(IF(SUMPRODUCT($I$46:I49,$J$46:J49)&lt;=10,"SKS&lt;=10",IF(SUMPRODUCT($I$46:I49,$J$46:J49)&gt;10,"SKS&gt;10",""))),"rumus")</f>
        <v>rumus</v>
      </c>
    </row>
    <row r="50" spans="1:14" s="2" customFormat="1" ht="25.5" hidden="1" customHeight="1" x14ac:dyDescent="0.45">
      <c r="A50" s="67">
        <v>5</v>
      </c>
      <c r="B50" s="163" t="s">
        <v>81</v>
      </c>
      <c r="C50" s="28" t="s">
        <v>145</v>
      </c>
      <c r="D50" s="28" t="str">
        <f t="shared" si="8"/>
        <v/>
      </c>
      <c r="E50" s="256" t="str">
        <f>IF(K50&lt;&gt;"rumus",(IF(OR(AND(L50="sks&gt;10",L49="sks&lt;=10",IFERROR(SUMPRODUCT($I$45:I49,$J$45:J49)&lt;10,FALSE)),AND(L50="sks&gt;10",L49="")),(((10-SUMPRODUCT($I$45:I49,$J$45:J49))&amp;" x "&amp;1)&amp;"
"&amp;(((I50*J50)-(10-SUMPRODUCT($I$45:I49,$J$45:J49)))&amp;" x "&amp;1)),(I50&amp;" x "&amp;J50))),"")</f>
        <v/>
      </c>
      <c r="F50" s="256" t="str">
        <f>IF(K50&lt;&gt;"rumus",(IF(OR(AND(L50="sks&gt;10",L49="sks&lt;=10",IFERROR(SUMPRODUCT($I$45:I49,$J$45:J49)&lt;10,FALSE)),AND(L50="sks&gt;10",L49="")),((IF('LAMPIRAN I DONE'!$F$21="Tenaga Pengajar",0.5,IF(OR('LAMPIRAN I DONE'!$F$21="Asisten Ahli",'LAMPIRAN I DONE'!$F$21="Lektor",'LAMPIRAN I DONE'!$F$21="Lektor Kepala",'LAMPIRAN I DONE'!$F$21="Guru Besar"),1,"")))&amp;"
"&amp;(IF('LAMPIRAN I DONE'!$F$21="Tenaga Pengajar",0.25,IF(OR('LAMPIRAN I DONE'!$F$21="Asisten Ahli",'LAMPIRAN I DONE'!$F$21="Lektor",'LAMPIRAN I DONE'!$F$21="Lektor Kepala",'LAMPIRAN I DONE'!$F$21="Guru Besar"),0.5,"")))),((IF(OR(AND(L50="sks&gt;10",L49="sks&gt;10"),AND(L50="sks&gt;10",L49="sks&lt;=10")),IF('LAMPIRAN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f>
        <v/>
      </c>
      <c r="G50" s="105" t="str">
        <f>IF(K50&lt;&gt;"rumus",(IF(OR(AND(L50="sks&gt;10",L49="sks&lt;=10",IFERROR(SUMPRODUCT($I$45:I49,$J$45:J49)&lt;10,FALSE)),AND(L50="sks&gt;10",L49="")),(((10-SUMPRODUCT($I$45:I49,$J$45:J49))&amp;" x "&amp;1&amp;" x "&amp;IF('LAMPIRAN I DONE'!$F$21="Tenaga Pengajar",0.5,IF(OR('LAMPIRAN I DONE'!$F$21="Asisten Ahli",'LAMPIRAN I DONE'!$F$21="Lektor",'LAMPIRAN I DONE'!$F$21="Lektor Kepala",'LAMPIRAN I DONE'!$F$21="Guru Besar"),1,""))&amp;" = "&amp;((10-SUMPRODUCT($I$45:I49,$J$45:J49))*IF('LAMPIRAN I DONE'!$F$21="Tenaga Pengajar",0.5,IF(OR('LAMPIRAN I DONE'!$F$21="Asisten Ahli",'LAMPIRAN I DONE'!$F$21="Lektor",'LAMPIRAN I DONE'!$F$21="Lektor Kepala",'LAMPIRAN I DONE'!$F$21="Guru Besar"),1,""))))&amp;"
"&amp;(((I50*J50)-(10-SUMPRODUCT($I$45:I49,$J$45:J49)))&amp;" x "&amp;1&amp;" x "&amp;IF('LAMPIRAN I DONE'!$F$21="Tenaga Pengajar",0.25,IF(OR('LAMPIRAN I DONE'!$F$21="Asisten Ahli",'LAMPIRAN I DONE'!$F$21="Lektor",'LAMPIRAN I DONE'!$F$21="Lektor Kepala",'LAMPIRAN I DONE'!$F$21="Guru Besar"),0.5,""))&amp;" = "&amp;(((I50*J50)-(10-SUMPRODUCT($I$45:I49,$J$45:J49)))*IF('LAMPIRAN I DONE'!$F$21="Tenaga Pengajar",0.25,IF(OR('LAMPIRAN I DONE'!$F$21="Asisten Ahli",'LAMPIRAN I DONE'!$F$21="Lektor",'LAMPIRAN I DONE'!$F$21="Lektor Kepala",'LAMPIRAN I DONE'!$F$21="Guru Besar"),0.5,""))))),(I50&amp;" x "&amp;J50&amp;" x "&amp;(IF(OR(AND(L50="sks&gt;10",L49="sks&gt;10"),AND(L50="sks&gt;10",L49="sks&lt;=10")),IF('LAMPIRAN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Besar"),1,""))))&amp;" = "&amp;K50))),"rumus")</f>
        <v>rumus</v>
      </c>
      <c r="H50" s="28" t="s">
        <v>620</v>
      </c>
      <c r="I50" s="34"/>
      <c r="J50" s="34"/>
      <c r="K50" s="27" t="str">
        <f>IF(AND(I50&lt;&gt;"",J50&lt;&gt;""),(IF(OR(AND(L50="sks&gt;10",L49="sks&lt;=10",IFERROR(SUMPRODUCT($I$45:I49,$J$45:J49)&lt;10,FALSE)),AND(L50="sks&gt;10",L49="")),(((10-SUMPRODUCT($I$45:I49,$J$45:J49))*IF('LAMPIRAN I DONE'!$F$21="Tenaga Pengajar",0.5,IF(OR('LAMPIRAN I DONE'!$F$21="Asisten Ahli",'LAMPIRAN I DONE'!$F$21="Lektor",'LAMPIRAN I DONE'!$F$21="Lektor Kepala",'LAMPIRAN I DONE'!$F$21="Guru Besar"),1,"")))+(((I50*J50)-(10-SUMPRODUCT($I$45:I49,$J$45:J49)))*IF('LAMPIRAN I DONE'!$F$21="Tenaga Pengajar",0.25,IF(OR('LAMPIRAN I DONE'!$F$21="Asisten Ahli",'LAMPIRAN I DONE'!$F$21="Lektor",'LAMPIRAN I DONE'!$F$21="Lektor Kepala",'LAMPIRAN I DONE'!$F$21="Guru Besar"),0.5,"")))),IF(OR(AND(L50="sks&gt;10",L49="sks&gt;10"),AND(L50="sks&gt;10",L49="sks&lt;=10")),I50*J50*IF('LAMPIRAN I DONE'!$F$21="Tenaga Pengajar",0.25,IF(OR('LAMPIRAN I DONE'!$F$21="Asisten Ahli",'LAMPIRAN I DONE'!$F$21="Lektor",'LAMPIRAN I DONE'!$F$21="Lektor Kepala",'LAMPIRAN I DONE'!$F$21="Guru Besar"),0.5,"")),I50*J50*IF('LAMPIRAN I DONE'!$F$21="Tenaga Pengajar",0.5,IF(OR('LAMPIRAN I DONE'!$F$21="Asisten Ahli",'LAMPIRAN I DONE'!$F$21="Lektor",'LAMPIRAN I DONE'!$F$21="Lektor Kepala",'LAMPIRAN I DONE'!$F$21="Guru Besar"),1,""))))),"rumus")</f>
        <v>rumus</v>
      </c>
      <c r="L50" s="27" t="str">
        <f>IF(AND(I50&lt;&gt;"",J50&lt;&gt;""),(IF(SUMPRODUCT($I$46:I50,$J$46:J50)&lt;=10,"SKS&lt;=10",IF(SUMPRODUCT($I$46:I50,$J$46:J50)&gt;10,"SKS&gt;10",""))),"rumus")</f>
        <v>rumus</v>
      </c>
    </row>
    <row r="51" spans="1:14" s="2" customFormat="1" ht="25.5" hidden="1" customHeight="1" x14ac:dyDescent="0.45">
      <c r="A51" s="67">
        <v>6</v>
      </c>
      <c r="B51" s="163" t="s">
        <v>81</v>
      </c>
      <c r="C51" s="28" t="s">
        <v>145</v>
      </c>
      <c r="D51" s="28" t="str">
        <f t="shared" si="8"/>
        <v/>
      </c>
      <c r="E51" s="256" t="str">
        <f>IF(K51&lt;&gt;"rumus",(IF(OR(AND(L51="sks&gt;10",L50="sks&lt;=10",IFERROR(SUMPRODUCT($I$45:I50,$J$45:J50)&lt;10,FALSE)),AND(L51="sks&gt;10",L50="")),(((10-SUMPRODUCT($I$45:I50,$J$45:J50))&amp;" x "&amp;1)&amp;"
"&amp;(((I51*J51)-(10-SUMPRODUCT($I$45:I50,$J$45:J50)))&amp;" x "&amp;1)),(I51&amp;" x "&amp;J51))),"")</f>
        <v/>
      </c>
      <c r="F51" s="256" t="str">
        <f>IF(K51&lt;&gt;"rumus",(IF(OR(AND(L51="sks&gt;10",L50="sks&lt;=10",IFERROR(SUMPRODUCT($I$45:I50,$J$45:J50)&lt;10,FALSE)),AND(L51="sks&gt;10",L50="")),((IF('LAMPIRAN I DONE'!$F$21="Tenaga Pengajar",0.5,IF(OR('LAMPIRAN I DONE'!$F$21="Asisten Ahli",'LAMPIRAN I DONE'!$F$21="Lektor",'LAMPIRAN I DONE'!$F$21="Lektor Kepala",'LAMPIRAN I DONE'!$F$21="Guru Besar"),1,"")))&amp;"
"&amp;(IF('LAMPIRAN I DONE'!$F$21="Tenaga Pengajar",0.25,IF(OR('LAMPIRAN I DONE'!$F$21="Asisten Ahli",'LAMPIRAN I DONE'!$F$21="Lektor",'LAMPIRAN I DONE'!$F$21="Lektor Kepala",'LAMPIRAN I DONE'!$F$21="Guru Besar"),0.5,"")))),((IF(OR(AND(L51="sks&gt;10",L50="sks&gt;10"),AND(L51="sks&gt;10",L50="sks&lt;=10")),IF('LAMPIRAN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f>
        <v/>
      </c>
      <c r="G51" s="105" t="str">
        <f>IF(K51&lt;&gt;"rumus",(IF(OR(AND(L51="sks&gt;10",L50="sks&lt;=10",IFERROR(SUMPRODUCT($I$45:I50,$J$45:J50)&lt;10,FALSE)),AND(L51="sks&gt;10",L50="")),(((10-SUMPRODUCT($I$45:I50,$J$45:J50))&amp;" x "&amp;1&amp;" x "&amp;IF('LAMPIRAN I DONE'!$F$21="Tenaga Pengajar",0.5,IF(OR('LAMPIRAN I DONE'!$F$21="Asisten Ahli",'LAMPIRAN I DONE'!$F$21="Lektor",'LAMPIRAN I DONE'!$F$21="Lektor Kepala",'LAMPIRAN I DONE'!$F$21="Guru Besar"),1,""))&amp;" = "&amp;((10-SUMPRODUCT($I$45:I50,$J$45:J50))*IF('LAMPIRAN I DONE'!$F$21="Tenaga Pengajar",0.5,IF(OR('LAMPIRAN I DONE'!$F$21="Asisten Ahli",'LAMPIRAN I DONE'!$F$21="Lektor",'LAMPIRAN I DONE'!$F$21="Lektor Kepala",'LAMPIRAN I DONE'!$F$21="Guru Besar"),1,""))))&amp;"
"&amp;(((I51*J51)-(10-SUMPRODUCT($I$45:I50,$J$45:J50)))&amp;" x "&amp;1&amp;" x "&amp;IF('LAMPIRAN I DONE'!$F$21="Tenaga Pengajar",0.25,IF(OR('LAMPIRAN I DONE'!$F$21="Asisten Ahli",'LAMPIRAN I DONE'!$F$21="Lektor",'LAMPIRAN I DONE'!$F$21="Lektor Kepala",'LAMPIRAN I DONE'!$F$21="Guru Besar"),0.5,""))&amp;" = "&amp;(((I51*J51)-(10-SUMPRODUCT($I$45:I50,$J$45:J50)))*IF('LAMPIRAN I DONE'!$F$21="Tenaga Pengajar",0.25,IF(OR('LAMPIRAN I DONE'!$F$21="Asisten Ahli",'LAMPIRAN I DONE'!$F$21="Lektor",'LAMPIRAN I DONE'!$F$21="Lektor Kepala",'LAMPIRAN I DONE'!$F$21="Guru Besar"),0.5,""))))),(I51&amp;" x "&amp;J51&amp;" x "&amp;(IF(OR(AND(L51="sks&gt;10",L50="sks&gt;10"),AND(L51="sks&gt;10",L50="sks&lt;=10")),IF('LAMPIRAN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Besar"),1,""))))&amp;" = "&amp;K51))),"rumus")</f>
        <v>rumus</v>
      </c>
      <c r="H51" s="28" t="s">
        <v>620</v>
      </c>
      <c r="I51" s="34"/>
      <c r="J51" s="34"/>
      <c r="K51" s="27" t="str">
        <f>IF(AND(I51&lt;&gt;"",J51&lt;&gt;""),(IF(OR(AND(L51="sks&gt;10",L50="sks&lt;=10",IFERROR(SUMPRODUCT($I$45:I50,$J$45:J50)&lt;10,FALSE)),AND(L51="sks&gt;10",L50="")),(((10-SUMPRODUCT($I$45:I50,$J$45:J50))*IF('LAMPIRAN I DONE'!$F$21="Tenaga Pengajar",0.5,IF(OR('LAMPIRAN I DONE'!$F$21="Asisten Ahli",'LAMPIRAN I DONE'!$F$21="Lektor",'LAMPIRAN I DONE'!$F$21="Lektor Kepala",'LAMPIRAN I DONE'!$F$21="Guru Besar"),1,"")))+(((I51*J51)-(10-SUMPRODUCT($I$45:I50,$J$45:J50)))*IF('LAMPIRAN I DONE'!$F$21="Tenaga Pengajar",0.25,IF(OR('LAMPIRAN I DONE'!$F$21="Asisten Ahli",'LAMPIRAN I DONE'!$F$21="Lektor",'LAMPIRAN I DONE'!$F$21="Lektor Kepala",'LAMPIRAN I DONE'!$F$21="Guru Besar"),0.5,"")))),IF(OR(AND(L51="sks&gt;10",L50="sks&gt;10"),AND(L51="sks&gt;10",L50="sks&lt;=10")),I51*J51*IF('LAMPIRAN I DONE'!$F$21="Tenaga Pengajar",0.25,IF(OR('LAMPIRAN I DONE'!$F$21="Asisten Ahli",'LAMPIRAN I DONE'!$F$21="Lektor",'LAMPIRAN I DONE'!$F$21="Lektor Kepala",'LAMPIRAN I DONE'!$F$21="Guru Besar"),0.5,"")),I51*J51*IF('LAMPIRAN I DONE'!$F$21="Tenaga Pengajar",0.5,IF(OR('LAMPIRAN I DONE'!$F$21="Asisten Ahli",'LAMPIRAN I DONE'!$F$21="Lektor",'LAMPIRAN I DONE'!$F$21="Lektor Kepala",'LAMPIRAN I DONE'!$F$21="Guru Besar"),1,""))))),"rumus")</f>
        <v>rumus</v>
      </c>
      <c r="L51" s="27" t="str">
        <f>IF(AND(I51&lt;&gt;"",J51&lt;&gt;""),(IF(SUMPRODUCT($I$46:I51,$J$46:J51)&lt;=10,"SKS&lt;=10",IF(SUMPRODUCT($I$46:I51,$J$46:J51)&gt;10,"SKS&gt;10",""))),"rumus")</f>
        <v>rumus</v>
      </c>
    </row>
    <row r="52" spans="1:14" s="2" customFormat="1" ht="15" hidden="1" customHeight="1" x14ac:dyDescent="0.45">
      <c r="A52" s="67"/>
      <c r="B52" s="168" t="str">
        <f>"a. Semester Gasal "&amp;IF(C53&lt;&gt;"",C53,"")&amp;" :"</f>
        <v>a. Semester Gasal 2009/2010 :</v>
      </c>
      <c r="C52" s="111"/>
      <c r="D52" s="111"/>
      <c r="E52" s="111"/>
      <c r="F52" s="111"/>
      <c r="G52" s="111"/>
      <c r="H52" s="112"/>
      <c r="I52" s="496"/>
      <c r="J52" s="496"/>
      <c r="K52" s="109"/>
      <c r="L52" s="109"/>
      <c r="M52" s="104">
        <f>IF((AND(N52="Max 5,5",SUM(K46:K51)&lt;=5.5)),SUM(K46:K51),IF((AND(N52="Max 5,5",SUM(K46:K51)&gt;5.5)),5.5,IF((AND(N52="Max 11",SUM(K46:K51)&lt;=11)),SUM(K46:K51),IF((AND(N52="Max 11",SUM(K46:K51)&gt;11)),11,""))))</f>
        <v>0</v>
      </c>
      <c r="N52" s="33" t="str">
        <f>IF('LAMPIRAN I DONE'!$F$21="Tenaga Pengajar","Max 5,5",IF(OR('LAMPIRAN I DONE'!$F$21="Asisten Ahli",'LAMPIRAN I DONE'!$F$21="Lektor",'LAMPIRAN I DONE'!$F$21="Lektor Kepala",'LAMPIRAN I DONE'!$F$21="Guru Besar"),"Max 11",""))</f>
        <v>Max 11</v>
      </c>
    </row>
    <row r="53" spans="1:14" s="2" customFormat="1" ht="25.5" hidden="1" customHeight="1" x14ac:dyDescent="0.45">
      <c r="A53" s="67">
        <v>1</v>
      </c>
      <c r="B53" s="163" t="s">
        <v>81</v>
      </c>
      <c r="C53" s="28" t="s">
        <v>146</v>
      </c>
      <c r="D53" s="28" t="str">
        <f>IF(G53&lt;&gt;"rumus","SKS","")</f>
        <v/>
      </c>
      <c r="E53" s="256" t="str">
        <f>IF(K53&lt;&gt;"rumus",(IF(OR(AND(L53="sks&gt;10",L52="sks&lt;=10",IFERROR(SUMPRODUCT($I$52:I52,$J$52:J52)&lt;10,FALSE)),AND(L53="sks&gt;10",L52="")),(((10-SUMPRODUCT($I$52:I52,$J$52:J52))&amp;" x "&amp;1)&amp;"
"&amp;(((I53*J53)-(10-SUMPRODUCT($I$52:I52,$J$52:J52)))&amp;" x "&amp;1)),(I53&amp;" x "&amp;J53))),"")</f>
        <v/>
      </c>
      <c r="F53" s="256" t="str">
        <f>IF(K53&lt;&gt;"rumus",(IF(OR(AND(L53="sks&gt;10",L52="sks&lt;=10",IFERROR(SUMPRODUCT($I$52:I52,$J$52:J52)&lt;10,FALSE)),AND(L53="sks&gt;10",L52="")),((IF('LAMPIRAN I DONE'!$F$21="Tenaga Pengajar",0.5,IF(OR('LAMPIRAN I DONE'!$F$21="Asisten Ahli",'LAMPIRAN I DONE'!$F$21="Lektor",'LAMPIRAN I DONE'!$F$21="Lektor Kepala",'LAMPIRAN I DONE'!$F$21="Guru Besar"),1,"")))&amp;"
"&amp;(IF('LAMPIRAN I DONE'!$F$21="Tenaga Pengajar",0.25,IF(OR('LAMPIRAN I DONE'!$F$21="Asisten Ahli",'LAMPIRAN I DONE'!$F$21="Lektor",'LAMPIRAN I DONE'!$F$21="Lektor Kepala",'LAMPIRAN I DONE'!$F$21="Guru Besar"),0.5,"")))),((IF(OR(AND(L53="sks&gt;10",L52="sks&gt;10"),AND(L53="sks&gt;10",L52="sks&lt;=10")),IF('LAMPIRAN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f>
        <v/>
      </c>
      <c r="G53" s="105" t="str">
        <f>IF(K53&lt;&gt;"rumus",(IF(OR(AND(L53="sks&gt;10",L52="sks&lt;=10",IFERROR(SUMPRODUCT($I$52:I52,$J$52:J52)&lt;10,FALSE)),AND(L53="sks&gt;10",L52="")),(((10-SUMPRODUCT($I$52:I52,$J$52:J52))&amp;" x "&amp;1&amp;" x "&amp;IF('LAMPIRAN I DONE'!$F$21="Tenaga Pengajar",0.5,IF(OR('LAMPIRAN I DONE'!$F$21="Asisten Ahli",'LAMPIRAN I DONE'!$F$21="Lektor",'LAMPIRAN I DONE'!$F$21="Lektor Kepala",'LAMPIRAN I DONE'!$F$21="Guru Besar"),1,""))&amp;" = "&amp;((10-SUMPRODUCT($I$52:I52,$J$52:J52))*IF('LAMPIRAN I DONE'!$F$21="Tenaga Pengajar",0.5,IF(OR('LAMPIRAN I DONE'!$F$21="Asisten Ahli",'LAMPIRAN I DONE'!$F$21="Lektor",'LAMPIRAN I DONE'!$F$21="Lektor Kepala",'LAMPIRAN I DONE'!$F$21="Guru Besar"),1,""))))&amp;"
"&amp;(((I53*J53)-(10-SUMPRODUCT($I$52:I52,$J$52:J52)))&amp;" x "&amp;1&amp;" x "&amp;IF('LAMPIRAN I DONE'!$F$21="Tenaga Pengajar",0.25,IF(OR('LAMPIRAN I DONE'!$F$21="Asisten Ahli",'LAMPIRAN I DONE'!$F$21="Lektor",'LAMPIRAN I DONE'!$F$21="Lektor Kepala",'LAMPIRAN I DONE'!$F$21="Guru Besar"),0.5,""))&amp;" = "&amp;(((I53*J53)-(10-SUMPRODUCT($I$52:I52,$J$52:J52)))*IF('LAMPIRAN I DONE'!$F$21="Tenaga Pengajar",0.25,IF(OR('LAMPIRAN I DONE'!$F$21="Asisten Ahli",'LAMPIRAN I DONE'!$F$21="Lektor",'LAMPIRAN I DONE'!$F$21="Lektor Kepala",'LAMPIRAN I DONE'!$F$21="Guru Besar"),0.5,""))))),(I53&amp;" x "&amp;J53&amp;" x "&amp;(IF(OR(AND(L53="sks&gt;10",L52="sks&gt;10"),AND(L53="sks&gt;10",L52="sks&lt;=10")),IF('LAMPIRAN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Besar"),1,""))))&amp;" = "&amp;K53))),"rumus")</f>
        <v>rumus</v>
      </c>
      <c r="H53" s="28" t="s">
        <v>620</v>
      </c>
      <c r="I53" s="34"/>
      <c r="J53" s="34"/>
      <c r="K53" s="27" t="str">
        <f>IF(AND(I53&lt;&gt;"",J53&lt;&gt;""),(IF(OR(AND(L53="sks&gt;10",L52="sks&lt;=10",IFERROR(SUMPRODUCT($I$52:I52,$J$52:J52)&lt;10,FALSE)),AND(L53="sks&gt;10",L52="")),(((10-SUMPRODUCT($I$52:I52,$J$52:J52))*IF('LAMPIRAN I DONE'!$F$21="Tenaga Pengajar",0.5,IF(OR('LAMPIRAN I DONE'!$F$21="Asisten Ahli",'LAMPIRAN I DONE'!$F$21="Lektor",'LAMPIRAN I DONE'!$F$21="Lektor Kepala",'LAMPIRAN I DONE'!$F$21="Guru Besar"),1,"")))+(((I53*J53)-(10-SUMPRODUCT($I$52:I52,$J$52:J52)))*IF('LAMPIRAN I DONE'!$F$21="Tenaga Pengajar",0.25,IF(OR('LAMPIRAN I DONE'!$F$21="Asisten Ahli",'LAMPIRAN I DONE'!$F$21="Lektor",'LAMPIRAN I DONE'!$F$21="Lektor Kepala",'LAMPIRAN I DONE'!$F$21="Guru Besar"),0.5,"")))),IF(OR(AND(L53="sks&gt;10",L52="sks&gt;10"),AND(L53="sks&gt;10",L52="sks&lt;=10")),I53*J53*IF('LAMPIRAN I DONE'!$F$21="Tenaga Pengajar",0.25,IF(OR('LAMPIRAN I DONE'!$F$21="Asisten Ahli",'LAMPIRAN I DONE'!$F$21="Lektor",'LAMPIRAN I DONE'!$F$21="Lektor Kepala",'LAMPIRAN I DONE'!$F$21="Guru Besar"),0.5,"")),I53*J53*IF('LAMPIRAN I DONE'!$F$21="Tenaga Pengajar",0.5,IF(OR('LAMPIRAN I DONE'!$F$21="Asisten Ahli",'LAMPIRAN I DONE'!$F$21="Lektor",'LAMPIRAN I DONE'!$F$21="Lektor Kepala",'LAMPIRAN I DONE'!$F$21="Guru Besar"),1,""))))),"rumus")</f>
        <v>rumus</v>
      </c>
      <c r="L53" s="27" t="str">
        <f>IF(AND(I53&lt;&gt;"",J53&lt;&gt;""),(IF(SUMPRODUCT($I$53:I53,$J$53:J53)&lt;=10,"SKS&lt;=10",IF(SUMPRODUCT($I$53:I53,$J$53:J53)&gt;10,"SKS&gt;10",""))),"rumus")</f>
        <v>rumus</v>
      </c>
    </row>
    <row r="54" spans="1:14" s="2" customFormat="1" ht="25.5" hidden="1" customHeight="1" x14ac:dyDescent="0.45">
      <c r="A54" s="67">
        <v>2</v>
      </c>
      <c r="B54" s="163" t="s">
        <v>81</v>
      </c>
      <c r="C54" s="28" t="s">
        <v>146</v>
      </c>
      <c r="D54" s="28" t="str">
        <f t="shared" ref="D54:D58" si="9">IF(G54&lt;&gt;"rumus","SKS","")</f>
        <v/>
      </c>
      <c r="E54" s="256" t="str">
        <f>IF(K54&lt;&gt;"rumus",(IF(OR(AND(L54="sks&gt;10",L53="sks&lt;=10",IFERROR(SUMPRODUCT($I$52:I53,$J$52:J53)&lt;10,FALSE)),AND(L54="sks&gt;10",L53="")),(((10-SUMPRODUCT($I$52:I53,$J$52:J53))&amp;" x "&amp;1)&amp;"
"&amp;(((I54*J54)-(10-SUMPRODUCT($I$52:I53,$J$52:J53)))&amp;" x "&amp;1)),(I54&amp;" x "&amp;J54))),"")</f>
        <v/>
      </c>
      <c r="F54" s="256" t="str">
        <f>IF(K54&lt;&gt;"rumus",(IF(OR(AND(L54="sks&gt;10",L53="sks&lt;=10",IFERROR(SUMPRODUCT($I$52:I53,$J$52:J53)&lt;10,FALSE)),AND(L54="sks&gt;10",L53="")),((IF('LAMPIRAN I DONE'!$F$21="Tenaga Pengajar",0.5,IF(OR('LAMPIRAN I DONE'!$F$21="Asisten Ahli",'LAMPIRAN I DONE'!$F$21="Lektor",'LAMPIRAN I DONE'!$F$21="Lektor Kepala",'LAMPIRAN I DONE'!$F$21="Guru Besar"),1,"")))&amp;"
"&amp;(IF('LAMPIRAN I DONE'!$F$21="Tenaga Pengajar",0.25,IF(OR('LAMPIRAN I DONE'!$F$21="Asisten Ahli",'LAMPIRAN I DONE'!$F$21="Lektor",'LAMPIRAN I DONE'!$F$21="Lektor Kepala",'LAMPIRAN I DONE'!$F$21="Guru Besar"),0.5,"")))),((IF(OR(AND(L54="sks&gt;10",L53="sks&gt;10"),AND(L54="sks&gt;10",L53="sks&lt;=10")),IF('LAMPIRAN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f>
        <v/>
      </c>
      <c r="G54" s="105" t="str">
        <f>IF(K54&lt;&gt;"rumus",(IF(OR(AND(L54="sks&gt;10",L53="sks&lt;=10",IFERROR(SUMPRODUCT($I$52:I53,$J$52:J53)&lt;10,FALSE)),AND(L54="sks&gt;10",L53="")),(((10-SUMPRODUCT($I$52:I53,$J$52:J53))&amp;" x "&amp;1&amp;" x "&amp;IF('LAMPIRAN I DONE'!$F$21="Tenaga Pengajar",0.5,IF(OR('LAMPIRAN I DONE'!$F$21="Asisten Ahli",'LAMPIRAN I DONE'!$F$21="Lektor",'LAMPIRAN I DONE'!$F$21="Lektor Kepala",'LAMPIRAN I DONE'!$F$21="Guru Besar"),1,""))&amp;" = "&amp;((10-SUMPRODUCT($I$52:I53,$J$52:J53))*IF('LAMPIRAN I DONE'!$F$21="Tenaga Pengajar",0.5,IF(OR('LAMPIRAN I DONE'!$F$21="Asisten Ahli",'LAMPIRAN I DONE'!$F$21="Lektor",'LAMPIRAN I DONE'!$F$21="Lektor Kepala",'LAMPIRAN I DONE'!$F$21="Guru Besar"),1,""))))&amp;"
"&amp;(((I54*J54)-(10-SUMPRODUCT($I$52:I53,$J$52:J53)))&amp;" x "&amp;1&amp;" x "&amp;IF('LAMPIRAN I DONE'!$F$21="Tenaga Pengajar",0.25,IF(OR('LAMPIRAN I DONE'!$F$21="Asisten Ahli",'LAMPIRAN I DONE'!$F$21="Lektor",'LAMPIRAN I DONE'!$F$21="Lektor Kepala",'LAMPIRAN I DONE'!$F$21="Guru Besar"),0.5,""))&amp;" = "&amp;(((I54*J54)-(10-SUMPRODUCT($I$52:I53,$J$52:J53)))*IF('LAMPIRAN I DONE'!$F$21="Tenaga Pengajar",0.25,IF(OR('LAMPIRAN I DONE'!$F$21="Asisten Ahli",'LAMPIRAN I DONE'!$F$21="Lektor",'LAMPIRAN I DONE'!$F$21="Lektor Kepala",'LAMPIRAN I DONE'!$F$21="Guru Besar"),0.5,""))))),(I54&amp;" x "&amp;J54&amp;" x "&amp;(IF(OR(AND(L54="sks&gt;10",L53="sks&gt;10"),AND(L54="sks&gt;10",L53="sks&lt;=10")),IF('LAMPIRAN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Besar"),1,""))))&amp;" = "&amp;K54))),"rumus")</f>
        <v>rumus</v>
      </c>
      <c r="H54" s="28" t="s">
        <v>620</v>
      </c>
      <c r="I54" s="34"/>
      <c r="J54" s="34"/>
      <c r="K54" s="27" t="str">
        <f>IF(AND(I54&lt;&gt;"",J54&lt;&gt;""),(IF(OR(AND(L54="sks&gt;10",L53="sks&lt;=10",IFERROR(SUMPRODUCT($I$52:I53,$J$52:J53)&lt;10,FALSE)),AND(L54="sks&gt;10",L53="")),(((10-SUMPRODUCT($I$52:I53,$J$52:J53))*IF('LAMPIRAN I DONE'!$F$21="Tenaga Pengajar",0.5,IF(OR('LAMPIRAN I DONE'!$F$21="Asisten Ahli",'LAMPIRAN I DONE'!$F$21="Lektor",'LAMPIRAN I DONE'!$F$21="Lektor Kepala",'LAMPIRAN I DONE'!$F$21="Guru Besar"),1,"")))+(((I54*J54)-(10-SUMPRODUCT($I$52:I53,$J$52:J53)))*IF('LAMPIRAN I DONE'!$F$21="Tenaga Pengajar",0.25,IF(OR('LAMPIRAN I DONE'!$F$21="Asisten Ahli",'LAMPIRAN I DONE'!$F$21="Lektor",'LAMPIRAN I DONE'!$F$21="Lektor Kepala",'LAMPIRAN I DONE'!$F$21="Guru Besar"),0.5,"")))),IF(OR(AND(L54="sks&gt;10",L53="sks&gt;10"),AND(L54="sks&gt;10",L53="sks&lt;=10")),I54*J54*IF('LAMPIRAN I DONE'!$F$21="Tenaga Pengajar",0.25,IF(OR('LAMPIRAN I DONE'!$F$21="Asisten Ahli",'LAMPIRAN I DONE'!$F$21="Lektor",'LAMPIRAN I DONE'!$F$21="Lektor Kepala",'LAMPIRAN I DONE'!$F$21="Guru Besar"),0.5,"")),I54*J54*IF('LAMPIRAN I DONE'!$F$21="Tenaga Pengajar",0.5,IF(OR('LAMPIRAN I DONE'!$F$21="Asisten Ahli",'LAMPIRAN I DONE'!$F$21="Lektor",'LAMPIRAN I DONE'!$F$21="Lektor Kepala",'LAMPIRAN I DONE'!$F$21="Guru Besar"),1,""))))),"rumus")</f>
        <v>rumus</v>
      </c>
      <c r="L54" s="27" t="str">
        <f>IF(AND(I54&lt;&gt;"",J54&lt;&gt;""),(IF(SUMPRODUCT($I$53:I54,$J$53:J54)&lt;=10,"SKS&lt;=10",IF(SUMPRODUCT($I$53:I54,$J$53:J54)&gt;10,"SKS&gt;10",""))),"rumus")</f>
        <v>rumus</v>
      </c>
    </row>
    <row r="55" spans="1:14" s="2" customFormat="1" ht="25.5" hidden="1" customHeight="1" x14ac:dyDescent="0.45">
      <c r="A55" s="67">
        <v>3</v>
      </c>
      <c r="B55" s="163" t="s">
        <v>81</v>
      </c>
      <c r="C55" s="28" t="s">
        <v>146</v>
      </c>
      <c r="D55" s="28" t="str">
        <f t="shared" si="9"/>
        <v/>
      </c>
      <c r="E55" s="256" t="str">
        <f>IF(K55&lt;&gt;"rumus",(IF(OR(AND(L55="sks&gt;10",L54="sks&lt;=10",IFERROR(SUMPRODUCT($I$52:I54,$J$52:J54)&lt;10,FALSE)),AND(L55="sks&gt;10",L54="")),(((10-SUMPRODUCT($I$52:I54,$J$52:J54))&amp;" x "&amp;1)&amp;"
"&amp;(((I55*J55)-(10-SUMPRODUCT($I$52:I54,$J$52:J54)))&amp;" x "&amp;1)),(I55&amp;" x "&amp;J55))),"")</f>
        <v/>
      </c>
      <c r="F55" s="256" t="str">
        <f>IF(K55&lt;&gt;"rumus",(IF(OR(AND(L55="sks&gt;10",L54="sks&lt;=10",IFERROR(SUMPRODUCT($I$52:I54,$J$52:J54)&lt;10,FALSE)),AND(L55="sks&gt;10",L54="")),((IF('LAMPIRAN I DONE'!$F$21="Tenaga Pengajar",0.5,IF(OR('LAMPIRAN I DONE'!$F$21="Asisten Ahli",'LAMPIRAN I DONE'!$F$21="Lektor",'LAMPIRAN I DONE'!$F$21="Lektor Kepala",'LAMPIRAN I DONE'!$F$21="Guru Besar"),1,"")))&amp;"
"&amp;(IF('LAMPIRAN I DONE'!$F$21="Tenaga Pengajar",0.25,IF(OR('LAMPIRAN I DONE'!$F$21="Asisten Ahli",'LAMPIRAN I DONE'!$F$21="Lektor",'LAMPIRAN I DONE'!$F$21="Lektor Kepala",'LAMPIRAN I DONE'!$F$21="Guru Besar"),0.5,"")))),((IF(OR(AND(L55="sks&gt;10",L54="sks&gt;10"),AND(L55="sks&gt;10",L54="sks&lt;=10")),IF('LAMPIRAN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f>
        <v/>
      </c>
      <c r="G55" s="105" t="str">
        <f>IF(K55&lt;&gt;"rumus",(IF(OR(AND(L55="sks&gt;10",L54="sks&lt;=10",IFERROR(SUMPRODUCT($I$52:I54,$J$52:J54)&lt;10,FALSE)),AND(L55="sks&gt;10",L54="")),(((10-SUMPRODUCT($I$52:I54,$J$52:J54))&amp;" x "&amp;1&amp;" x "&amp;IF('LAMPIRAN I DONE'!$F$21="Tenaga Pengajar",0.5,IF(OR('LAMPIRAN I DONE'!$F$21="Asisten Ahli",'LAMPIRAN I DONE'!$F$21="Lektor",'LAMPIRAN I DONE'!$F$21="Lektor Kepala",'LAMPIRAN I DONE'!$F$21="Guru Besar"),1,""))&amp;" = "&amp;((10-SUMPRODUCT($I$52:I54,$J$52:J54))*IF('LAMPIRAN I DONE'!$F$21="Tenaga Pengajar",0.5,IF(OR('LAMPIRAN I DONE'!$F$21="Asisten Ahli",'LAMPIRAN I DONE'!$F$21="Lektor",'LAMPIRAN I DONE'!$F$21="Lektor Kepala",'LAMPIRAN I DONE'!$F$21="Guru Besar"),1,""))))&amp;"
"&amp;(((I55*J55)-(10-SUMPRODUCT($I$52:I54,$J$52:J54)))&amp;" x "&amp;1&amp;" x "&amp;IF('LAMPIRAN I DONE'!$F$21="Tenaga Pengajar",0.25,IF(OR('LAMPIRAN I DONE'!$F$21="Asisten Ahli",'LAMPIRAN I DONE'!$F$21="Lektor",'LAMPIRAN I DONE'!$F$21="Lektor Kepala",'LAMPIRAN I DONE'!$F$21="Guru Besar"),0.5,""))&amp;" = "&amp;(((I55*J55)-(10-SUMPRODUCT($I$52:I54,$J$52:J54)))*IF('LAMPIRAN I DONE'!$F$21="Tenaga Pengajar",0.25,IF(OR('LAMPIRAN I DONE'!$F$21="Asisten Ahli",'LAMPIRAN I DONE'!$F$21="Lektor",'LAMPIRAN I DONE'!$F$21="Lektor Kepala",'LAMPIRAN I DONE'!$F$21="Guru Besar"),0.5,""))))),(I55&amp;" x "&amp;J55&amp;" x "&amp;(IF(OR(AND(L55="sks&gt;10",L54="sks&gt;10"),AND(L55="sks&gt;10",L54="sks&lt;=10")),IF('LAMPIRAN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Besar"),1,""))))&amp;" = "&amp;K55))),"rumus")</f>
        <v>rumus</v>
      </c>
      <c r="H55" s="28" t="s">
        <v>620</v>
      </c>
      <c r="I55" s="34"/>
      <c r="J55" s="34"/>
      <c r="K55" s="27" t="str">
        <f>IF(AND(I55&lt;&gt;"",J55&lt;&gt;""),(IF(OR(AND(L55="sks&gt;10",L54="sks&lt;=10",IFERROR(SUMPRODUCT($I$52:I54,$J$52:J54)&lt;10,FALSE)),AND(L55="sks&gt;10",L54="")),(((10-SUMPRODUCT($I$52:I54,$J$52:J54))*IF('LAMPIRAN I DONE'!$F$21="Tenaga Pengajar",0.5,IF(OR('LAMPIRAN I DONE'!$F$21="Asisten Ahli",'LAMPIRAN I DONE'!$F$21="Lektor",'LAMPIRAN I DONE'!$F$21="Lektor Kepala",'LAMPIRAN I DONE'!$F$21="Guru Besar"),1,"")))+(((I55*J55)-(10-SUMPRODUCT($I$52:I54,$J$52:J54)))*IF('LAMPIRAN I DONE'!$F$21="Tenaga Pengajar",0.25,IF(OR('LAMPIRAN I DONE'!$F$21="Asisten Ahli",'LAMPIRAN I DONE'!$F$21="Lektor",'LAMPIRAN I DONE'!$F$21="Lektor Kepala",'LAMPIRAN I DONE'!$F$21="Guru Besar"),0.5,"")))),IF(OR(AND(L55="sks&gt;10",L54="sks&gt;10"),AND(L55="sks&gt;10",L54="sks&lt;=10")),I55*J55*IF('LAMPIRAN I DONE'!$F$21="Tenaga Pengajar",0.25,IF(OR('LAMPIRAN I DONE'!$F$21="Asisten Ahli",'LAMPIRAN I DONE'!$F$21="Lektor",'LAMPIRAN I DONE'!$F$21="Lektor Kepala",'LAMPIRAN I DONE'!$F$21="Guru Besar"),0.5,"")),I55*J55*IF('LAMPIRAN I DONE'!$F$21="Tenaga Pengajar",0.5,IF(OR('LAMPIRAN I DONE'!$F$21="Asisten Ahli",'LAMPIRAN I DONE'!$F$21="Lektor",'LAMPIRAN I DONE'!$F$21="Lektor Kepala",'LAMPIRAN I DONE'!$F$21="Guru Besar"),1,""))))),"rumus")</f>
        <v>rumus</v>
      </c>
      <c r="L55" s="27" t="str">
        <f>IF(AND(I55&lt;&gt;"",J55&lt;&gt;""),(IF(SUMPRODUCT($I$53:I55,$J$53:J55)&lt;=10,"SKS&lt;=10",IF(SUMPRODUCT($I$53:I55,$J$53:J55)&gt;10,"SKS&gt;10",""))),"rumus")</f>
        <v>rumus</v>
      </c>
    </row>
    <row r="56" spans="1:14" s="2" customFormat="1" ht="25.5" hidden="1" customHeight="1" x14ac:dyDescent="0.45">
      <c r="A56" s="67">
        <v>4</v>
      </c>
      <c r="B56" s="163" t="s">
        <v>81</v>
      </c>
      <c r="C56" s="28" t="s">
        <v>146</v>
      </c>
      <c r="D56" s="28" t="str">
        <f t="shared" si="9"/>
        <v/>
      </c>
      <c r="E56" s="256" t="str">
        <f>IF(K56&lt;&gt;"rumus",(IF(OR(AND(L56="sks&gt;10",L55="sks&lt;=10",IFERROR(SUMPRODUCT($I$52:I55,$J$52:J55)&lt;10,FALSE)),AND(L56="sks&gt;10",L55="")),(((10-SUMPRODUCT($I$52:I55,$J$52:J55))&amp;" x "&amp;1)&amp;"
"&amp;(((I56*J56)-(10-SUMPRODUCT($I$52:I55,$J$52:J55)))&amp;" x "&amp;1)),(I56&amp;" x "&amp;J56))),"")</f>
        <v/>
      </c>
      <c r="F56" s="256" t="str">
        <f>IF(K56&lt;&gt;"rumus",(IF(OR(AND(L56="sks&gt;10",L55="sks&lt;=10",IFERROR(SUMPRODUCT($I$52:I55,$J$52:J55)&lt;10,FALSE)),AND(L56="sks&gt;10",L55="")),((IF('LAMPIRAN I DONE'!$F$21="Tenaga Pengajar",0.5,IF(OR('LAMPIRAN I DONE'!$F$21="Asisten Ahli",'LAMPIRAN I DONE'!$F$21="Lektor",'LAMPIRAN I DONE'!$F$21="Lektor Kepala",'LAMPIRAN I DONE'!$F$21="Guru Besar"),1,"")))&amp;"
"&amp;(IF('LAMPIRAN I DONE'!$F$21="Tenaga Pengajar",0.25,IF(OR('LAMPIRAN I DONE'!$F$21="Asisten Ahli",'LAMPIRAN I DONE'!$F$21="Lektor",'LAMPIRAN I DONE'!$F$21="Lektor Kepala",'LAMPIRAN I DONE'!$F$21="Guru Besar"),0.5,"")))),((IF(OR(AND(L56="sks&gt;10",L55="sks&gt;10"),AND(L56="sks&gt;10",L55="sks&lt;=10")),IF('LAMPIRAN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f>
        <v/>
      </c>
      <c r="G56" s="105" t="str">
        <f>IF(K56&lt;&gt;"rumus",(IF(OR(AND(L56="sks&gt;10",L55="sks&lt;=10",IFERROR(SUMPRODUCT($I$52:I55,$J$52:J55)&lt;10,FALSE)),AND(L56="sks&gt;10",L55="")),(((10-SUMPRODUCT($I$52:I55,$J$52:J55))&amp;" x "&amp;1&amp;" x "&amp;IF('LAMPIRAN I DONE'!$F$21="Tenaga Pengajar",0.5,IF(OR('LAMPIRAN I DONE'!$F$21="Asisten Ahli",'LAMPIRAN I DONE'!$F$21="Lektor",'LAMPIRAN I DONE'!$F$21="Lektor Kepala",'LAMPIRAN I DONE'!$F$21="Guru Besar"),1,""))&amp;" = "&amp;((10-SUMPRODUCT($I$52:I55,$J$52:J55))*IF('LAMPIRAN I DONE'!$F$21="Tenaga Pengajar",0.5,IF(OR('LAMPIRAN I DONE'!$F$21="Asisten Ahli",'LAMPIRAN I DONE'!$F$21="Lektor",'LAMPIRAN I DONE'!$F$21="Lektor Kepala",'LAMPIRAN I DONE'!$F$21="Guru Besar"),1,""))))&amp;"
"&amp;(((I56*J56)-(10-SUMPRODUCT($I$52:I55,$J$52:J55)))&amp;" x "&amp;1&amp;" x "&amp;IF('LAMPIRAN I DONE'!$F$21="Tenaga Pengajar",0.25,IF(OR('LAMPIRAN I DONE'!$F$21="Asisten Ahli",'LAMPIRAN I DONE'!$F$21="Lektor",'LAMPIRAN I DONE'!$F$21="Lektor Kepala",'LAMPIRAN I DONE'!$F$21="Guru Besar"),0.5,""))&amp;" = "&amp;(((I56*J56)-(10-SUMPRODUCT($I$52:I55,$J$52:J55)))*IF('LAMPIRAN I DONE'!$F$21="Tenaga Pengajar",0.25,IF(OR('LAMPIRAN I DONE'!$F$21="Asisten Ahli",'LAMPIRAN I DONE'!$F$21="Lektor",'LAMPIRAN I DONE'!$F$21="Lektor Kepala",'LAMPIRAN I DONE'!$F$21="Guru Besar"),0.5,""))))),(I56&amp;" x "&amp;J56&amp;" x "&amp;(IF(OR(AND(L56="sks&gt;10",L55="sks&gt;10"),AND(L56="sks&gt;10",L55="sks&lt;=10")),IF('LAMPIRAN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Besar"),1,""))))&amp;" = "&amp;K56))),"rumus")</f>
        <v>rumus</v>
      </c>
      <c r="H56" s="28" t="s">
        <v>620</v>
      </c>
      <c r="I56" s="34"/>
      <c r="J56" s="34"/>
      <c r="K56" s="27" t="str">
        <f>IF(AND(I56&lt;&gt;"",J56&lt;&gt;""),(IF(OR(AND(L56="sks&gt;10",L55="sks&lt;=10",IFERROR(SUMPRODUCT($I$52:I55,$J$52:J55)&lt;10,FALSE)),AND(L56="sks&gt;10",L55="")),(((10-SUMPRODUCT($I$52:I55,$J$52:J55))*IF('LAMPIRAN I DONE'!$F$21="Tenaga Pengajar",0.5,IF(OR('LAMPIRAN I DONE'!$F$21="Asisten Ahli",'LAMPIRAN I DONE'!$F$21="Lektor",'LAMPIRAN I DONE'!$F$21="Lektor Kepala",'LAMPIRAN I DONE'!$F$21="Guru Besar"),1,"")))+(((I56*J56)-(10-SUMPRODUCT($I$52:I55,$J$52:J55)))*IF('LAMPIRAN I DONE'!$F$21="Tenaga Pengajar",0.25,IF(OR('LAMPIRAN I DONE'!$F$21="Asisten Ahli",'LAMPIRAN I DONE'!$F$21="Lektor",'LAMPIRAN I DONE'!$F$21="Lektor Kepala",'LAMPIRAN I DONE'!$F$21="Guru Besar"),0.5,"")))),IF(OR(AND(L56="sks&gt;10",L55="sks&gt;10"),AND(L56="sks&gt;10",L55="sks&lt;=10")),I56*J56*IF('LAMPIRAN I DONE'!$F$21="Tenaga Pengajar",0.25,IF(OR('LAMPIRAN I DONE'!$F$21="Asisten Ahli",'LAMPIRAN I DONE'!$F$21="Lektor",'LAMPIRAN I DONE'!$F$21="Lektor Kepala",'LAMPIRAN I DONE'!$F$21="Guru Besar"),0.5,"")),I56*J56*IF('LAMPIRAN I DONE'!$F$21="Tenaga Pengajar",0.5,IF(OR('LAMPIRAN I DONE'!$F$21="Asisten Ahli",'LAMPIRAN I DONE'!$F$21="Lektor",'LAMPIRAN I DONE'!$F$21="Lektor Kepala",'LAMPIRAN I DONE'!$F$21="Guru Besar"),1,""))))),"rumus")</f>
        <v>rumus</v>
      </c>
      <c r="L56" s="27" t="str">
        <f>IF(AND(I56&lt;&gt;"",J56&lt;&gt;""),(IF(SUMPRODUCT($I$53:I56,$J$53:J56)&lt;=10,"SKS&lt;=10",IF(SUMPRODUCT($I$53:I56,$J$53:J56)&gt;10,"SKS&gt;10",""))),"rumus")</f>
        <v>rumus</v>
      </c>
    </row>
    <row r="57" spans="1:14" s="2" customFormat="1" ht="25.5" hidden="1" customHeight="1" x14ac:dyDescent="0.45">
      <c r="A57" s="67">
        <v>5</v>
      </c>
      <c r="B57" s="163" t="s">
        <v>81</v>
      </c>
      <c r="C57" s="28" t="s">
        <v>146</v>
      </c>
      <c r="D57" s="28" t="str">
        <f t="shared" si="9"/>
        <v/>
      </c>
      <c r="E57" s="256" t="str">
        <f>IF(K57&lt;&gt;"rumus",(IF(OR(AND(L57="sks&gt;10",L56="sks&lt;=10",IFERROR(SUMPRODUCT($I$52:I56,$J$52:J56)&lt;10,FALSE)),AND(L57="sks&gt;10",L56="")),(((10-SUMPRODUCT($I$52:I56,$J$52:J56))&amp;" x "&amp;1)&amp;"
"&amp;(((I57*J57)-(10-SUMPRODUCT($I$52:I56,$J$52:J56)))&amp;" x "&amp;1)),(I57&amp;" x "&amp;J57))),"")</f>
        <v/>
      </c>
      <c r="F57" s="256" t="str">
        <f>IF(K57&lt;&gt;"rumus",(IF(OR(AND(L57="sks&gt;10",L56="sks&lt;=10",IFERROR(SUMPRODUCT($I$52:I56,$J$52:J56)&lt;10,FALSE)),AND(L57="sks&gt;10",L56="")),((IF('LAMPIRAN I DONE'!$F$21="Tenaga Pengajar",0.5,IF(OR('LAMPIRAN I DONE'!$F$21="Asisten Ahli",'LAMPIRAN I DONE'!$F$21="Lektor",'LAMPIRAN I DONE'!$F$21="Lektor Kepala",'LAMPIRAN I DONE'!$F$21="Guru Besar"),1,"")))&amp;"
"&amp;(IF('LAMPIRAN I DONE'!$F$21="Tenaga Pengajar",0.25,IF(OR('LAMPIRAN I DONE'!$F$21="Asisten Ahli",'LAMPIRAN I DONE'!$F$21="Lektor",'LAMPIRAN I DONE'!$F$21="Lektor Kepala",'LAMPIRAN I DONE'!$F$21="Guru Besar"),0.5,"")))),((IF(OR(AND(L57="sks&gt;10",L56="sks&gt;10"),AND(L57="sks&gt;10",L56="sks&lt;=10")),IF('LAMPIRAN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f>
        <v/>
      </c>
      <c r="G57" s="105" t="str">
        <f>IF(K57&lt;&gt;"rumus",(IF(OR(AND(L57="sks&gt;10",L56="sks&lt;=10",IFERROR(SUMPRODUCT($I$52:I56,$J$52:J56)&lt;10,FALSE)),AND(L57="sks&gt;10",L56="")),(((10-SUMPRODUCT($I$52:I56,$J$52:J56))&amp;" x "&amp;1&amp;" x "&amp;IF('LAMPIRAN I DONE'!$F$21="Tenaga Pengajar",0.5,IF(OR('LAMPIRAN I DONE'!$F$21="Asisten Ahli",'LAMPIRAN I DONE'!$F$21="Lektor",'LAMPIRAN I DONE'!$F$21="Lektor Kepala",'LAMPIRAN I DONE'!$F$21="Guru Besar"),1,""))&amp;" = "&amp;((10-SUMPRODUCT($I$52:I56,$J$52:J56))*IF('LAMPIRAN I DONE'!$F$21="Tenaga Pengajar",0.5,IF(OR('LAMPIRAN I DONE'!$F$21="Asisten Ahli",'LAMPIRAN I DONE'!$F$21="Lektor",'LAMPIRAN I DONE'!$F$21="Lektor Kepala",'LAMPIRAN I DONE'!$F$21="Guru Besar"),1,""))))&amp;"
"&amp;(((I57*J57)-(10-SUMPRODUCT($I$52:I56,$J$52:J56)))&amp;" x "&amp;1&amp;" x "&amp;IF('LAMPIRAN I DONE'!$F$21="Tenaga Pengajar",0.25,IF(OR('LAMPIRAN I DONE'!$F$21="Asisten Ahli",'LAMPIRAN I DONE'!$F$21="Lektor",'LAMPIRAN I DONE'!$F$21="Lektor Kepala",'LAMPIRAN I DONE'!$F$21="Guru Besar"),0.5,""))&amp;" = "&amp;(((I57*J57)-(10-SUMPRODUCT($I$52:I56,$J$52:J56)))*IF('LAMPIRAN I DONE'!$F$21="Tenaga Pengajar",0.25,IF(OR('LAMPIRAN I DONE'!$F$21="Asisten Ahli",'LAMPIRAN I DONE'!$F$21="Lektor",'LAMPIRAN I DONE'!$F$21="Lektor Kepala",'LAMPIRAN I DONE'!$F$21="Guru Besar"),0.5,""))))),(I57&amp;" x "&amp;J57&amp;" x "&amp;(IF(OR(AND(L57="sks&gt;10",L56="sks&gt;10"),AND(L57="sks&gt;10",L56="sks&lt;=10")),IF('LAMPIRAN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Besar"),1,""))))&amp;" = "&amp;K57))),"rumus")</f>
        <v>rumus</v>
      </c>
      <c r="H57" s="28" t="s">
        <v>620</v>
      </c>
      <c r="I57" s="34"/>
      <c r="J57" s="34"/>
      <c r="K57" s="27" t="str">
        <f>IF(AND(I57&lt;&gt;"",J57&lt;&gt;""),(IF(OR(AND(L57="sks&gt;10",L56="sks&lt;=10",IFERROR(SUMPRODUCT($I$52:I56,$J$52:J56)&lt;10,FALSE)),AND(L57="sks&gt;10",L56="")),(((10-SUMPRODUCT($I$52:I56,$J$52:J56))*IF('LAMPIRAN I DONE'!$F$21="Tenaga Pengajar",0.5,IF(OR('LAMPIRAN I DONE'!$F$21="Asisten Ahli",'LAMPIRAN I DONE'!$F$21="Lektor",'LAMPIRAN I DONE'!$F$21="Lektor Kepala",'LAMPIRAN I DONE'!$F$21="Guru Besar"),1,"")))+(((I57*J57)-(10-SUMPRODUCT($I$52:I56,$J$52:J56)))*IF('LAMPIRAN I DONE'!$F$21="Tenaga Pengajar",0.25,IF(OR('LAMPIRAN I DONE'!$F$21="Asisten Ahli",'LAMPIRAN I DONE'!$F$21="Lektor",'LAMPIRAN I DONE'!$F$21="Lektor Kepala",'LAMPIRAN I DONE'!$F$21="Guru Besar"),0.5,"")))),IF(OR(AND(L57="sks&gt;10",L56="sks&gt;10"),AND(L57="sks&gt;10",L56="sks&lt;=10")),I57*J57*IF('LAMPIRAN I DONE'!$F$21="Tenaga Pengajar",0.25,IF(OR('LAMPIRAN I DONE'!$F$21="Asisten Ahli",'LAMPIRAN I DONE'!$F$21="Lektor",'LAMPIRAN I DONE'!$F$21="Lektor Kepala",'LAMPIRAN I DONE'!$F$21="Guru Besar"),0.5,"")),I57*J57*IF('LAMPIRAN I DONE'!$F$21="Tenaga Pengajar",0.5,IF(OR('LAMPIRAN I DONE'!$F$21="Asisten Ahli",'LAMPIRAN I DONE'!$F$21="Lektor",'LAMPIRAN I DONE'!$F$21="Lektor Kepala",'LAMPIRAN I DONE'!$F$21="Guru Besar"),1,""))))),"rumus")</f>
        <v>rumus</v>
      </c>
      <c r="L57" s="27" t="str">
        <f>IF(AND(I57&lt;&gt;"",J57&lt;&gt;""),(IF(SUMPRODUCT($I$53:I57,$J$53:J57)&lt;=10,"SKS&lt;=10",IF(SUMPRODUCT($I$53:I57,$J$53:J57)&gt;10,"SKS&gt;10",""))),"rumus")</f>
        <v>rumus</v>
      </c>
    </row>
    <row r="58" spans="1:14" s="2" customFormat="1" ht="25.5" hidden="1" customHeight="1" x14ac:dyDescent="0.45">
      <c r="A58" s="67">
        <v>6</v>
      </c>
      <c r="B58" s="163" t="s">
        <v>81</v>
      </c>
      <c r="C58" s="28" t="s">
        <v>146</v>
      </c>
      <c r="D58" s="28" t="str">
        <f t="shared" si="9"/>
        <v/>
      </c>
      <c r="E58" s="256" t="str">
        <f>IF(K58&lt;&gt;"rumus",(IF(OR(AND(L58="sks&gt;10",L57="sks&lt;=10",IFERROR(SUMPRODUCT($I$52:I57,$J$52:J57)&lt;10,FALSE)),AND(L58="sks&gt;10",L57="")),(((10-SUMPRODUCT($I$52:I57,$J$52:J57))&amp;" x "&amp;1)&amp;"
"&amp;(((I58*J58)-(10-SUMPRODUCT($I$52:I57,$J$52:J57)))&amp;" x "&amp;1)),(I58&amp;" x "&amp;J58))),"")</f>
        <v/>
      </c>
      <c r="F58" s="256" t="str">
        <f>IF(K58&lt;&gt;"rumus",(IF(OR(AND(L58="sks&gt;10",L57="sks&lt;=10",IFERROR(SUMPRODUCT($I$52:I57,$J$52:J57)&lt;10,FALSE)),AND(L58="sks&gt;10",L57="")),((IF('LAMPIRAN I DONE'!$F$21="Tenaga Pengajar",0.5,IF(OR('LAMPIRAN I DONE'!$F$21="Asisten Ahli",'LAMPIRAN I DONE'!$F$21="Lektor",'LAMPIRAN I DONE'!$F$21="Lektor Kepala",'LAMPIRAN I DONE'!$F$21="Guru Besar"),1,"")))&amp;"
"&amp;(IF('LAMPIRAN I DONE'!$F$21="Tenaga Pengajar",0.25,IF(OR('LAMPIRAN I DONE'!$F$21="Asisten Ahli",'LAMPIRAN I DONE'!$F$21="Lektor",'LAMPIRAN I DONE'!$F$21="Lektor Kepala",'LAMPIRAN I DONE'!$F$21="Guru Besar"),0.5,"")))),((IF(OR(AND(L58="sks&gt;10",L57="sks&gt;10"),AND(L58="sks&gt;10",L57="sks&lt;=10")),IF('LAMPIRAN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f>
        <v/>
      </c>
      <c r="G58" s="105" t="str">
        <f>IF(K58&lt;&gt;"rumus",(IF(OR(AND(L58="sks&gt;10",L57="sks&lt;=10",IFERROR(SUMPRODUCT($I$52:I57,$J$52:J57)&lt;10,FALSE)),AND(L58="sks&gt;10",L57="")),(((10-SUMPRODUCT($I$52:I57,$J$52:J57))&amp;" x "&amp;1&amp;" x "&amp;IF('LAMPIRAN I DONE'!$F$21="Tenaga Pengajar",0.5,IF(OR('LAMPIRAN I DONE'!$F$21="Asisten Ahli",'LAMPIRAN I DONE'!$F$21="Lektor",'LAMPIRAN I DONE'!$F$21="Lektor Kepala",'LAMPIRAN I DONE'!$F$21="Guru Besar"),1,""))&amp;" = "&amp;((10-SUMPRODUCT($I$52:I57,$J$52:J57))*IF('LAMPIRAN I DONE'!$F$21="Tenaga Pengajar",0.5,IF(OR('LAMPIRAN I DONE'!$F$21="Asisten Ahli",'LAMPIRAN I DONE'!$F$21="Lektor",'LAMPIRAN I DONE'!$F$21="Lektor Kepala",'LAMPIRAN I DONE'!$F$21="Guru Besar"),1,""))))&amp;"
"&amp;(((I58*J58)-(10-SUMPRODUCT($I$52:I57,$J$52:J57)))&amp;" x "&amp;1&amp;" x "&amp;IF('LAMPIRAN I DONE'!$F$21="Tenaga Pengajar",0.25,IF(OR('LAMPIRAN I DONE'!$F$21="Asisten Ahli",'LAMPIRAN I DONE'!$F$21="Lektor",'LAMPIRAN I DONE'!$F$21="Lektor Kepala",'LAMPIRAN I DONE'!$F$21="Guru Besar"),0.5,""))&amp;" = "&amp;(((I58*J58)-(10-SUMPRODUCT($I$52:I57,$J$52:J57)))*IF('LAMPIRAN I DONE'!$F$21="Tenaga Pengajar",0.25,IF(OR('LAMPIRAN I DONE'!$F$21="Asisten Ahli",'LAMPIRAN I DONE'!$F$21="Lektor",'LAMPIRAN I DONE'!$F$21="Lektor Kepala",'LAMPIRAN I DONE'!$F$21="Guru Besar"),0.5,""))))),(I58&amp;" x "&amp;J58&amp;" x "&amp;(IF(OR(AND(L58="sks&gt;10",L57="sks&gt;10"),AND(L58="sks&gt;10",L57="sks&lt;=10")),IF('LAMPIRAN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Besar"),1,""))))&amp;" = "&amp;K58))),"rumus")</f>
        <v>rumus</v>
      </c>
      <c r="H58" s="28" t="s">
        <v>620</v>
      </c>
      <c r="I58" s="34"/>
      <c r="J58" s="34"/>
      <c r="K58" s="27" t="str">
        <f>IF(AND(I58&lt;&gt;"",J58&lt;&gt;""),(IF(OR(AND(L58="sks&gt;10",L57="sks&lt;=10",IFERROR(SUMPRODUCT($I$52:I57,$J$52:J57)&lt;10,FALSE)),AND(L58="sks&gt;10",L57="")),(((10-SUMPRODUCT($I$52:I57,$J$52:J57))*IF('LAMPIRAN I DONE'!$F$21="Tenaga Pengajar",0.5,IF(OR('LAMPIRAN I DONE'!$F$21="Asisten Ahli",'LAMPIRAN I DONE'!$F$21="Lektor",'LAMPIRAN I DONE'!$F$21="Lektor Kepala",'LAMPIRAN I DONE'!$F$21="Guru Besar"),1,"")))+(((I58*J58)-(10-SUMPRODUCT($I$52:I57,$J$52:J57)))*IF('LAMPIRAN I DONE'!$F$21="Tenaga Pengajar",0.25,IF(OR('LAMPIRAN I DONE'!$F$21="Asisten Ahli",'LAMPIRAN I DONE'!$F$21="Lektor",'LAMPIRAN I DONE'!$F$21="Lektor Kepala",'LAMPIRAN I DONE'!$F$21="Guru Besar"),0.5,"")))),IF(OR(AND(L58="sks&gt;10",L57="sks&gt;10"),AND(L58="sks&gt;10",L57="sks&lt;=10")),I58*J58*IF('LAMPIRAN I DONE'!$F$21="Tenaga Pengajar",0.25,IF(OR('LAMPIRAN I DONE'!$F$21="Asisten Ahli",'LAMPIRAN I DONE'!$F$21="Lektor",'LAMPIRAN I DONE'!$F$21="Lektor Kepala",'LAMPIRAN I DONE'!$F$21="Guru Besar"),0.5,"")),I58*J58*IF('LAMPIRAN I DONE'!$F$21="Tenaga Pengajar",0.5,IF(OR('LAMPIRAN I DONE'!$F$21="Asisten Ahli",'LAMPIRAN I DONE'!$F$21="Lektor",'LAMPIRAN I DONE'!$F$21="Lektor Kepala",'LAMPIRAN I DONE'!$F$21="Guru Besar"),1,""))))),"rumus")</f>
        <v>rumus</v>
      </c>
      <c r="L58" s="27" t="str">
        <f>IF(AND(I58&lt;&gt;"",J58&lt;&gt;""),(IF(SUMPRODUCT($I$53:I58,$J$53:J58)&lt;=10,"SKS&lt;=10",IF(SUMPRODUCT($I$53:I58,$J$53:J58)&gt;10,"SKS&gt;10",""))),"rumus")</f>
        <v>rumus</v>
      </c>
    </row>
    <row r="59" spans="1:14" s="2" customFormat="1" ht="15" hidden="1" customHeight="1" x14ac:dyDescent="0.45">
      <c r="A59" s="67"/>
      <c r="B59" s="168" t="str">
        <f>"a. Semester Gasal "&amp;IF(C60&lt;&gt;"",C60,"")&amp;" :"</f>
        <v>a. Semester Gasal 2010/2011 :</v>
      </c>
      <c r="C59" s="111"/>
      <c r="D59" s="111"/>
      <c r="E59" s="111"/>
      <c r="F59" s="111"/>
      <c r="G59" s="111"/>
      <c r="H59" s="112"/>
      <c r="I59" s="496"/>
      <c r="J59" s="496"/>
      <c r="K59" s="109"/>
      <c r="L59" s="109"/>
      <c r="M59" s="104">
        <f>IF((AND(N59="Max 5,5",SUM(K53:K58)&lt;=5.5)),SUM(K53:K58),IF((AND(N59="Max 5,5",SUM(K53:K58)&gt;5.5)),5.5,IF((AND(N59="Max 11",SUM(K53:K58)&lt;=11)),SUM(K53:K58),IF((AND(N59="Max 11",SUM(K53:K58)&gt;11)),11,""))))</f>
        <v>0</v>
      </c>
      <c r="N59" s="33" t="str">
        <f>IF('LAMPIRAN I DONE'!$F$21="Tenaga Pengajar","Max 5,5",IF(OR('LAMPIRAN I DONE'!$F$21="Asisten Ahli",'LAMPIRAN I DONE'!$F$21="Lektor",'LAMPIRAN I DONE'!$F$21="Lektor Kepala",'LAMPIRAN I DONE'!$F$21="Guru Besar"),"Max 11",""))</f>
        <v>Max 11</v>
      </c>
    </row>
    <row r="60" spans="1:14" s="173" customFormat="1" ht="25.5" hidden="1" customHeight="1" x14ac:dyDescent="0.45">
      <c r="A60" s="171">
        <v>1</v>
      </c>
      <c r="B60" s="170" t="s">
        <v>81</v>
      </c>
      <c r="C60" s="28" t="s">
        <v>108</v>
      </c>
      <c r="D60" s="28" t="str">
        <f>IF(G60&lt;&gt;"rumus","SKS","")</f>
        <v/>
      </c>
      <c r="E60" s="256" t="str">
        <f>IF(K60&lt;&gt;"rumus",(IF(OR(AND(L60="sks&gt;10",L59="sks&lt;=10",IFERROR(SUMPRODUCT($I$59:I59,$J$59:J59)&lt;10,FALSE)),AND(L60="sks&gt;10",L59="")),(((10-SUMPRODUCT($I$59:I59,$J$59:J59))&amp;" x "&amp;1)&amp;"
"&amp;(((I60*J60)-(10-SUMPRODUCT($I$59:I59,$J$59:J59)))&amp;" x "&amp;1)),(I60&amp;" x "&amp;J60))),"")</f>
        <v/>
      </c>
      <c r="F60" s="256" t="str">
        <f>IF(K60&lt;&gt;"rumus",(IF(OR(AND(L60="sks&gt;10",L59="sks&lt;=10",IFERROR(SUMPRODUCT($I$59:I59,$J$59:J59)&lt;10,FALSE)),AND(L60="sks&gt;10",L59="")),((IF('LAMPIRAN I DONE'!$F$21="Tenaga Pengajar",0.5,IF(OR('LAMPIRAN I DONE'!$F$21="Asisten Ahli",'LAMPIRAN I DONE'!$F$21="Lektor",'LAMPIRAN I DONE'!$F$21="Lektor Kepala",'LAMPIRAN I DONE'!$F$21="Guru Besar"),1,"")))&amp;"
"&amp;(IF('LAMPIRAN I DONE'!$F$21="Tenaga Pengajar",0.25,IF(OR('LAMPIRAN I DONE'!$F$21="Asisten Ahli",'LAMPIRAN I DONE'!$F$21="Lektor",'LAMPIRAN I DONE'!$F$21="Lektor Kepala",'LAMPIRAN I DONE'!$F$21="Guru Besar"),0.5,"")))),((IF(OR(AND(L60="sks&gt;10",L59="sks&gt;10"),AND(L60="sks&gt;10",L59="sks&lt;=10")),IF('LAMPIRAN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f>
        <v/>
      </c>
      <c r="G60" s="105" t="str">
        <f>IF(K60&lt;&gt;"rumus",(IF(OR(AND(L60="sks&gt;10",L59="sks&lt;=10",IFERROR(SUMPRODUCT($I$59:I59,$J$59:J59)&lt;10,FALSE)),AND(L60="sks&gt;10",L59="")),(((10-SUMPRODUCT($I$59:I59,$J$59:J59))&amp;" x "&amp;1&amp;" x "&amp;IF('LAMPIRAN I DONE'!$F$21="Tenaga Pengajar",0.5,IF(OR('LAMPIRAN I DONE'!$F$21="Asisten Ahli",'LAMPIRAN I DONE'!$F$21="Lektor",'LAMPIRAN I DONE'!$F$21="Lektor Kepala",'LAMPIRAN I DONE'!$F$21="Guru Besar"),1,""))&amp;" = "&amp;((10-SUMPRODUCT($I$59:I59,$J$59:J59))*IF('LAMPIRAN I DONE'!$F$21="Tenaga Pengajar",0.5,IF(OR('LAMPIRAN I DONE'!$F$21="Asisten Ahli",'LAMPIRAN I DONE'!$F$21="Lektor",'LAMPIRAN I DONE'!$F$21="Lektor Kepala",'LAMPIRAN I DONE'!$F$21="Guru Besar"),1,""))))&amp;"
"&amp;(((I60*J60)-(10-SUMPRODUCT($I$59:I59,$J$59:J59)))&amp;" x "&amp;1&amp;" x "&amp;IF('LAMPIRAN I DONE'!$F$21="Tenaga Pengajar",0.25,IF(OR('LAMPIRAN I DONE'!$F$21="Asisten Ahli",'LAMPIRAN I DONE'!$F$21="Lektor",'LAMPIRAN I DONE'!$F$21="Lektor Kepala",'LAMPIRAN I DONE'!$F$21="Guru Besar"),0.5,""))&amp;" = "&amp;(((I60*J60)-(10-SUMPRODUCT($I$59:I59,$J$59:J59)))*IF('LAMPIRAN I DONE'!$F$21="Tenaga Pengajar",0.25,IF(OR('LAMPIRAN I DONE'!$F$21="Asisten Ahli",'LAMPIRAN I DONE'!$F$21="Lektor",'LAMPIRAN I DONE'!$F$21="Lektor Kepala",'LAMPIRAN I DONE'!$F$21="Guru Besar"),0.5,""))))),(I60&amp;" x "&amp;J60&amp;" x "&amp;(IF(OR(AND(L60="sks&gt;10",L59="sks&gt;10"),AND(L60="sks&gt;10",L59="sks&lt;=10")),IF('LAMPIRAN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Besar"),1,""))))&amp;" = "&amp;K60))),"rumus")</f>
        <v>rumus</v>
      </c>
      <c r="H60" s="28" t="s">
        <v>620</v>
      </c>
      <c r="I60" s="34"/>
      <c r="J60" s="34"/>
      <c r="K60" s="27" t="str">
        <f>IF(AND(I60&lt;&gt;"",J60&lt;&gt;""),(IF(OR(AND(L60="sks&gt;10",L59="sks&lt;=10",IFERROR(SUMPRODUCT($I$59:I59,$J$59:J59)&lt;10,FALSE)),AND(L60="sks&gt;10",L59="")),(((10-SUMPRODUCT($I$59:I59,$J$59:J59))*IF('LAMPIRAN I DONE'!$F$21="Tenaga Pengajar",0.5,IF(OR('LAMPIRAN I DONE'!$F$21="Asisten Ahli",'LAMPIRAN I DONE'!$F$21="Lektor",'LAMPIRAN I DONE'!$F$21="Lektor Kepala",'LAMPIRAN I DONE'!$F$21="Guru Besar"),1,"")))+(((I60*J60)-(10-SUMPRODUCT($I$59:I59,$J$59:J59)))*IF('LAMPIRAN I DONE'!$F$21="Tenaga Pengajar",0.25,IF(OR('LAMPIRAN I DONE'!$F$21="Asisten Ahli",'LAMPIRAN I DONE'!$F$21="Lektor",'LAMPIRAN I DONE'!$F$21="Lektor Kepala",'LAMPIRAN I DONE'!$F$21="Guru Besar"),0.5,"")))),IF(OR(AND(L60="sks&gt;10",L59="sks&gt;10"),AND(L60="sks&gt;10",L59="sks&lt;=10")),I60*J60*IF('LAMPIRAN I DONE'!$F$21="Tenaga Pengajar",0.25,IF(OR('LAMPIRAN I DONE'!$F$21="Asisten Ahli",'LAMPIRAN I DONE'!$F$21="Lektor",'LAMPIRAN I DONE'!$F$21="Lektor Kepala",'LAMPIRAN I DONE'!$F$21="Guru Besar"),0.5,"")),I60*J60*IF('LAMPIRAN I DONE'!$F$21="Tenaga Pengajar",0.5,IF(OR('LAMPIRAN I DONE'!$F$21="Asisten Ahli",'LAMPIRAN I DONE'!$F$21="Lektor",'LAMPIRAN I DONE'!$F$21="Lektor Kepala",'LAMPIRAN I DONE'!$F$21="Guru Besar"),1,""))))),"rumus")</f>
        <v>rumus</v>
      </c>
      <c r="L60" s="27" t="str">
        <f>IF(AND(I60&lt;&gt;"",J60&lt;&gt;""),(IF(SUMPRODUCT($I$60:I60,$J$60:J60)&lt;=10,"SKS&lt;=10",IF(SUMPRODUCT($I$60:I60,$J$60:J60)&gt;10,"SKS&gt;10",""))),"rumus")</f>
        <v>rumus</v>
      </c>
    </row>
    <row r="61" spans="1:14" s="173" customFormat="1" ht="25.5" hidden="1" customHeight="1" x14ac:dyDescent="0.45">
      <c r="A61" s="171">
        <v>2</v>
      </c>
      <c r="B61" s="170" t="s">
        <v>81</v>
      </c>
      <c r="C61" s="28" t="s">
        <v>108</v>
      </c>
      <c r="D61" s="28" t="str">
        <f t="shared" ref="D61:D65" si="10">IF(G61&lt;&gt;"rumus","SKS","")</f>
        <v/>
      </c>
      <c r="E61" s="256" t="str">
        <f>IF(K61&lt;&gt;"rumus",(IF(OR(AND(L61="sks&gt;10",L60="sks&lt;=10",IFERROR(SUMPRODUCT($I$59:I60,$J$59:J60)&lt;10,FALSE)),AND(L61="sks&gt;10",L60="")),(((10-SUMPRODUCT($I$59:I60,$J$59:J60))&amp;" x "&amp;1)&amp;"
"&amp;(((I61*J61)-(10-SUMPRODUCT($I$59:I60,$J$59:J60)))&amp;" x "&amp;1)),(I61&amp;" x "&amp;J61))),"")</f>
        <v/>
      </c>
      <c r="F61" s="256" t="str">
        <f>IF(K61&lt;&gt;"rumus",(IF(OR(AND(L61="sks&gt;10",L60="sks&lt;=10",IFERROR(SUMPRODUCT($I$59:I60,$J$59:J60)&lt;10,FALSE)),AND(L61="sks&gt;10",L60="")),((IF('LAMPIRAN I DONE'!$F$21="Tenaga Pengajar",0.5,IF(OR('LAMPIRAN I DONE'!$F$21="Asisten Ahli",'LAMPIRAN I DONE'!$F$21="Lektor",'LAMPIRAN I DONE'!$F$21="Lektor Kepala",'LAMPIRAN I DONE'!$F$21="Guru Besar"),1,"")))&amp;"
"&amp;(IF('LAMPIRAN I DONE'!$F$21="Tenaga Pengajar",0.25,IF(OR('LAMPIRAN I DONE'!$F$21="Asisten Ahli",'LAMPIRAN I DONE'!$F$21="Lektor",'LAMPIRAN I DONE'!$F$21="Lektor Kepala",'LAMPIRAN I DONE'!$F$21="Guru Besar"),0.5,"")))),((IF(OR(AND(L61="sks&gt;10",L60="sks&gt;10"),AND(L61="sks&gt;10",L60="sks&lt;=10")),IF('LAMPIRAN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f>
        <v/>
      </c>
      <c r="G61" s="105" t="str">
        <f>IF(K61&lt;&gt;"rumus",(IF(OR(AND(L61="sks&gt;10",L60="sks&lt;=10",IFERROR(SUMPRODUCT($I$59:I60,$J$59:J60)&lt;10,FALSE)),AND(L61="sks&gt;10",L60="")),(((10-SUMPRODUCT($I$59:I60,$J$59:J60))&amp;" x "&amp;1&amp;" x "&amp;IF('LAMPIRAN I DONE'!$F$21="Tenaga Pengajar",0.5,IF(OR('LAMPIRAN I DONE'!$F$21="Asisten Ahli",'LAMPIRAN I DONE'!$F$21="Lektor",'LAMPIRAN I DONE'!$F$21="Lektor Kepala",'LAMPIRAN I DONE'!$F$21="Guru Besar"),1,""))&amp;" = "&amp;((10-SUMPRODUCT($I$59:I60,$J$59:J60))*IF('LAMPIRAN I DONE'!$F$21="Tenaga Pengajar",0.5,IF(OR('LAMPIRAN I DONE'!$F$21="Asisten Ahli",'LAMPIRAN I DONE'!$F$21="Lektor",'LAMPIRAN I DONE'!$F$21="Lektor Kepala",'LAMPIRAN I DONE'!$F$21="Guru Besar"),1,""))))&amp;"
"&amp;(((I61*J61)-(10-SUMPRODUCT($I$59:I60,$J$59:J60)))&amp;" x "&amp;1&amp;" x "&amp;IF('LAMPIRAN I DONE'!$F$21="Tenaga Pengajar",0.25,IF(OR('LAMPIRAN I DONE'!$F$21="Asisten Ahli",'LAMPIRAN I DONE'!$F$21="Lektor",'LAMPIRAN I DONE'!$F$21="Lektor Kepala",'LAMPIRAN I DONE'!$F$21="Guru Besar"),0.5,""))&amp;" = "&amp;(((I61*J61)-(10-SUMPRODUCT($I$59:I60,$J$59:J60)))*IF('LAMPIRAN I DONE'!$F$21="Tenaga Pengajar",0.25,IF(OR('LAMPIRAN I DONE'!$F$21="Asisten Ahli",'LAMPIRAN I DONE'!$F$21="Lektor",'LAMPIRAN I DONE'!$F$21="Lektor Kepala",'LAMPIRAN I DONE'!$F$21="Guru Besar"),0.5,""))))),(I61&amp;" x "&amp;J61&amp;" x "&amp;(IF(OR(AND(L61="sks&gt;10",L60="sks&gt;10"),AND(L61="sks&gt;10",L60="sks&lt;=10")),IF('LAMPIRAN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Besar"),1,""))))&amp;" = "&amp;K61))),"rumus")</f>
        <v>rumus</v>
      </c>
      <c r="H61" s="28" t="s">
        <v>620</v>
      </c>
      <c r="I61" s="34"/>
      <c r="J61" s="34"/>
      <c r="K61" s="27" t="str">
        <f>IF(AND(I61&lt;&gt;"",J61&lt;&gt;""),(IF(OR(AND(L61="sks&gt;10",L60="sks&lt;=10",IFERROR(SUMPRODUCT($I$59:I60,$J$59:J60)&lt;10,FALSE)),AND(L61="sks&gt;10",L60="")),(((10-SUMPRODUCT($I$59:I60,$J$59:J60))*IF('LAMPIRAN I DONE'!$F$21="Tenaga Pengajar",0.5,IF(OR('LAMPIRAN I DONE'!$F$21="Asisten Ahli",'LAMPIRAN I DONE'!$F$21="Lektor",'LAMPIRAN I DONE'!$F$21="Lektor Kepala",'LAMPIRAN I DONE'!$F$21="Guru Besar"),1,"")))+(((I61*J61)-(10-SUMPRODUCT($I$59:I60,$J$59:J60)))*IF('LAMPIRAN I DONE'!$F$21="Tenaga Pengajar",0.25,IF(OR('LAMPIRAN I DONE'!$F$21="Asisten Ahli",'LAMPIRAN I DONE'!$F$21="Lektor",'LAMPIRAN I DONE'!$F$21="Lektor Kepala",'LAMPIRAN I DONE'!$F$21="Guru Besar"),0.5,"")))),IF(OR(AND(L61="sks&gt;10",L60="sks&gt;10"),AND(L61="sks&gt;10",L60="sks&lt;=10")),I61*J61*IF('LAMPIRAN I DONE'!$F$21="Tenaga Pengajar",0.25,IF(OR('LAMPIRAN I DONE'!$F$21="Asisten Ahli",'LAMPIRAN I DONE'!$F$21="Lektor",'LAMPIRAN I DONE'!$F$21="Lektor Kepala",'LAMPIRAN I DONE'!$F$21="Guru Besar"),0.5,"")),I61*J61*IF('LAMPIRAN I DONE'!$F$21="Tenaga Pengajar",0.5,IF(OR('LAMPIRAN I DONE'!$F$21="Asisten Ahli",'LAMPIRAN I DONE'!$F$21="Lektor",'LAMPIRAN I DONE'!$F$21="Lektor Kepala",'LAMPIRAN I DONE'!$F$21="Guru Besar"),1,""))))),"rumus")</f>
        <v>rumus</v>
      </c>
      <c r="L61" s="27" t="str">
        <f>IF(AND(I61&lt;&gt;"",J61&lt;&gt;""),(IF(SUMPRODUCT($I$60:I61,$J$60:J61)&lt;=10,"SKS&lt;=10",IF(SUMPRODUCT($I$60:I61,$J$60:J61)&gt;10,"SKS&gt;10",""))),"rumus")</f>
        <v>rumus</v>
      </c>
    </row>
    <row r="62" spans="1:14" s="173" customFormat="1" ht="25.5" hidden="1" customHeight="1" x14ac:dyDescent="0.45">
      <c r="A62" s="171">
        <v>3</v>
      </c>
      <c r="B62" s="170" t="s">
        <v>81</v>
      </c>
      <c r="C62" s="28" t="s">
        <v>108</v>
      </c>
      <c r="D62" s="28" t="str">
        <f t="shared" si="10"/>
        <v/>
      </c>
      <c r="E62" s="256" t="str">
        <f>IF(K62&lt;&gt;"rumus",(IF(OR(AND(L62="sks&gt;10",L61="sks&lt;=10",IFERROR(SUMPRODUCT($I$59:I61,$J$59:J61)&lt;10,FALSE)),AND(L62="sks&gt;10",L61="")),(((10-SUMPRODUCT($I$59:I61,$J$59:J61))&amp;" x "&amp;1)&amp;"
"&amp;(((I62*J62)-(10-SUMPRODUCT($I$59:I61,$J$59:J61)))&amp;" x "&amp;1)),(I62&amp;" x "&amp;J62))),"")</f>
        <v/>
      </c>
      <c r="F62" s="256" t="str">
        <f>IF(K62&lt;&gt;"rumus",(IF(OR(AND(L62="sks&gt;10",L61="sks&lt;=10",IFERROR(SUMPRODUCT($I$59:I61,$J$59:J61)&lt;10,FALSE)),AND(L62="sks&gt;10",L61="")),((IF('LAMPIRAN I DONE'!$F$21="Tenaga Pengajar",0.5,IF(OR('LAMPIRAN I DONE'!$F$21="Asisten Ahli",'LAMPIRAN I DONE'!$F$21="Lektor",'LAMPIRAN I DONE'!$F$21="Lektor Kepala",'LAMPIRAN I DONE'!$F$21="Guru Besar"),1,"")))&amp;"
"&amp;(IF('LAMPIRAN I DONE'!$F$21="Tenaga Pengajar",0.25,IF(OR('LAMPIRAN I DONE'!$F$21="Asisten Ahli",'LAMPIRAN I DONE'!$F$21="Lektor",'LAMPIRAN I DONE'!$F$21="Lektor Kepala",'LAMPIRAN I DONE'!$F$21="Guru Besar"),0.5,"")))),((IF(OR(AND(L62="sks&gt;10",L61="sks&gt;10"),AND(L62="sks&gt;10",L61="sks&lt;=10")),IF('LAMPIRAN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f>
        <v/>
      </c>
      <c r="G62" s="105" t="str">
        <f>IF(K62&lt;&gt;"rumus",(IF(OR(AND(L62="sks&gt;10",L61="sks&lt;=10",IFERROR(SUMPRODUCT($I$59:I61,$J$59:J61)&lt;10,FALSE)),AND(L62="sks&gt;10",L61="")),(((10-SUMPRODUCT($I$59:I61,$J$59:J61))&amp;" x "&amp;1&amp;" x "&amp;IF('LAMPIRAN I DONE'!$F$21="Tenaga Pengajar",0.5,IF(OR('LAMPIRAN I DONE'!$F$21="Asisten Ahli",'LAMPIRAN I DONE'!$F$21="Lektor",'LAMPIRAN I DONE'!$F$21="Lektor Kepala",'LAMPIRAN I DONE'!$F$21="Guru Besar"),1,""))&amp;" = "&amp;((10-SUMPRODUCT($I$59:I61,$J$59:J61))*IF('LAMPIRAN I DONE'!$F$21="Tenaga Pengajar",0.5,IF(OR('LAMPIRAN I DONE'!$F$21="Asisten Ahli",'LAMPIRAN I DONE'!$F$21="Lektor",'LAMPIRAN I DONE'!$F$21="Lektor Kepala",'LAMPIRAN I DONE'!$F$21="Guru Besar"),1,""))))&amp;"
"&amp;(((I62*J62)-(10-SUMPRODUCT($I$59:I61,$J$59:J61)))&amp;" x "&amp;1&amp;" x "&amp;IF('LAMPIRAN I DONE'!$F$21="Tenaga Pengajar",0.25,IF(OR('LAMPIRAN I DONE'!$F$21="Asisten Ahli",'LAMPIRAN I DONE'!$F$21="Lektor",'LAMPIRAN I DONE'!$F$21="Lektor Kepala",'LAMPIRAN I DONE'!$F$21="Guru Besar"),0.5,""))&amp;" = "&amp;(((I62*J62)-(10-SUMPRODUCT($I$59:I61,$J$59:J61)))*IF('LAMPIRAN I DONE'!$F$21="Tenaga Pengajar",0.25,IF(OR('LAMPIRAN I DONE'!$F$21="Asisten Ahli",'LAMPIRAN I DONE'!$F$21="Lektor",'LAMPIRAN I DONE'!$F$21="Lektor Kepala",'LAMPIRAN I DONE'!$F$21="Guru Besar"),0.5,""))))),(I62&amp;" x "&amp;J62&amp;" x "&amp;(IF(OR(AND(L62="sks&gt;10",L61="sks&gt;10"),AND(L62="sks&gt;10",L61="sks&lt;=10")),IF('LAMPIRAN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Besar"),1,""))))&amp;" = "&amp;K62))),"rumus")</f>
        <v>rumus</v>
      </c>
      <c r="H62" s="28" t="s">
        <v>620</v>
      </c>
      <c r="I62" s="34"/>
      <c r="J62" s="34"/>
      <c r="K62" s="27" t="str">
        <f>IF(AND(I62&lt;&gt;"",J62&lt;&gt;""),(IF(OR(AND(L62="sks&gt;10",L61="sks&lt;=10",IFERROR(SUMPRODUCT($I$59:I61,$J$59:J61)&lt;10,FALSE)),AND(L62="sks&gt;10",L61="")),(((10-SUMPRODUCT($I$59:I61,$J$59:J61))*IF('LAMPIRAN I DONE'!$F$21="Tenaga Pengajar",0.5,IF(OR('LAMPIRAN I DONE'!$F$21="Asisten Ahli",'LAMPIRAN I DONE'!$F$21="Lektor",'LAMPIRAN I DONE'!$F$21="Lektor Kepala",'LAMPIRAN I DONE'!$F$21="Guru Besar"),1,"")))+(((I62*J62)-(10-SUMPRODUCT($I$59:I61,$J$59:J61)))*IF('LAMPIRAN I DONE'!$F$21="Tenaga Pengajar",0.25,IF(OR('LAMPIRAN I DONE'!$F$21="Asisten Ahli",'LAMPIRAN I DONE'!$F$21="Lektor",'LAMPIRAN I DONE'!$F$21="Lektor Kepala",'LAMPIRAN I DONE'!$F$21="Guru Besar"),0.5,"")))),IF(OR(AND(L62="sks&gt;10",L61="sks&gt;10"),AND(L62="sks&gt;10",L61="sks&lt;=10")),I62*J62*IF('LAMPIRAN I DONE'!$F$21="Tenaga Pengajar",0.25,IF(OR('LAMPIRAN I DONE'!$F$21="Asisten Ahli",'LAMPIRAN I DONE'!$F$21="Lektor",'LAMPIRAN I DONE'!$F$21="Lektor Kepala",'LAMPIRAN I DONE'!$F$21="Guru Besar"),0.5,"")),I62*J62*IF('LAMPIRAN I DONE'!$F$21="Tenaga Pengajar",0.5,IF(OR('LAMPIRAN I DONE'!$F$21="Asisten Ahli",'LAMPIRAN I DONE'!$F$21="Lektor",'LAMPIRAN I DONE'!$F$21="Lektor Kepala",'LAMPIRAN I DONE'!$F$21="Guru Besar"),1,""))))),"rumus")</f>
        <v>rumus</v>
      </c>
      <c r="L62" s="27" t="str">
        <f>IF(AND(I62&lt;&gt;"",J62&lt;&gt;""),(IF(SUMPRODUCT($I$60:I62,$J$60:J62)&lt;=10,"SKS&lt;=10",IF(SUMPRODUCT($I$60:I62,$J$60:J62)&gt;10,"SKS&gt;10",""))),"rumus")</f>
        <v>rumus</v>
      </c>
    </row>
    <row r="63" spans="1:14" s="2" customFormat="1" ht="25.5" hidden="1" customHeight="1" x14ac:dyDescent="0.45">
      <c r="A63" s="67">
        <v>4</v>
      </c>
      <c r="B63" s="163" t="s">
        <v>81</v>
      </c>
      <c r="C63" s="28" t="s">
        <v>108</v>
      </c>
      <c r="D63" s="28" t="str">
        <f t="shared" si="10"/>
        <v/>
      </c>
      <c r="E63" s="256" t="str">
        <f>IF(K63&lt;&gt;"rumus",(IF(OR(AND(L63="sks&gt;10",L62="sks&lt;=10",IFERROR(SUMPRODUCT($I$59:I62,$J$59:J62)&lt;10,FALSE)),AND(L63="sks&gt;10",L62="")),(((10-SUMPRODUCT($I$59:I62,$J$59:J62))&amp;" x "&amp;1)&amp;"
"&amp;(((I63*J63)-(10-SUMPRODUCT($I$59:I62,$J$59:J62)))&amp;" x "&amp;1)),(I63&amp;" x "&amp;J63))),"")</f>
        <v/>
      </c>
      <c r="F63" s="256" t="str">
        <f>IF(K63&lt;&gt;"rumus",(IF(OR(AND(L63="sks&gt;10",L62="sks&lt;=10",IFERROR(SUMPRODUCT($I$59:I62,$J$59:J62)&lt;10,FALSE)),AND(L63="sks&gt;10",L62="")),((IF('LAMPIRAN I DONE'!$F$21="Tenaga Pengajar",0.5,IF(OR('LAMPIRAN I DONE'!$F$21="Asisten Ahli",'LAMPIRAN I DONE'!$F$21="Lektor",'LAMPIRAN I DONE'!$F$21="Lektor Kepala",'LAMPIRAN I DONE'!$F$21="Guru Besar"),1,"")))&amp;"
"&amp;(IF('LAMPIRAN I DONE'!$F$21="Tenaga Pengajar",0.25,IF(OR('LAMPIRAN I DONE'!$F$21="Asisten Ahli",'LAMPIRAN I DONE'!$F$21="Lektor",'LAMPIRAN I DONE'!$F$21="Lektor Kepala",'LAMPIRAN I DONE'!$F$21="Guru Besar"),0.5,"")))),((IF(OR(AND(L63="sks&gt;10",L62="sks&gt;10"),AND(L63="sks&gt;10",L62="sks&lt;=10")),IF('LAMPIRAN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f>
        <v/>
      </c>
      <c r="G63" s="105" t="str">
        <f>IF(K63&lt;&gt;"rumus",(IF(OR(AND(L63="sks&gt;10",L62="sks&lt;=10",IFERROR(SUMPRODUCT($I$59:I62,$J$59:J62)&lt;10,FALSE)),AND(L63="sks&gt;10",L62="")),(((10-SUMPRODUCT($I$59:I62,$J$59:J62))&amp;" x "&amp;1&amp;" x "&amp;IF('LAMPIRAN I DONE'!$F$21="Tenaga Pengajar",0.5,IF(OR('LAMPIRAN I DONE'!$F$21="Asisten Ahli",'LAMPIRAN I DONE'!$F$21="Lektor",'LAMPIRAN I DONE'!$F$21="Lektor Kepala",'LAMPIRAN I DONE'!$F$21="Guru Besar"),1,""))&amp;" = "&amp;((10-SUMPRODUCT($I$59:I62,$J$59:J62))*IF('LAMPIRAN I DONE'!$F$21="Tenaga Pengajar",0.5,IF(OR('LAMPIRAN I DONE'!$F$21="Asisten Ahli",'LAMPIRAN I DONE'!$F$21="Lektor",'LAMPIRAN I DONE'!$F$21="Lektor Kepala",'LAMPIRAN I DONE'!$F$21="Guru Besar"),1,""))))&amp;"
"&amp;(((I63*J63)-(10-SUMPRODUCT($I$59:I62,$J$59:J62)))&amp;" x "&amp;1&amp;" x "&amp;IF('LAMPIRAN I DONE'!$F$21="Tenaga Pengajar",0.25,IF(OR('LAMPIRAN I DONE'!$F$21="Asisten Ahli",'LAMPIRAN I DONE'!$F$21="Lektor",'LAMPIRAN I DONE'!$F$21="Lektor Kepala",'LAMPIRAN I DONE'!$F$21="Guru Besar"),0.5,""))&amp;" = "&amp;(((I63*J63)-(10-SUMPRODUCT($I$59:I62,$J$59:J62)))*IF('LAMPIRAN I DONE'!$F$21="Tenaga Pengajar",0.25,IF(OR('LAMPIRAN I DONE'!$F$21="Asisten Ahli",'LAMPIRAN I DONE'!$F$21="Lektor",'LAMPIRAN I DONE'!$F$21="Lektor Kepala",'LAMPIRAN I DONE'!$F$21="Guru Besar"),0.5,""))))),(I63&amp;" x "&amp;J63&amp;" x "&amp;(IF(OR(AND(L63="sks&gt;10",L62="sks&gt;10"),AND(L63="sks&gt;10",L62="sks&lt;=10")),IF('LAMPIRAN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Besar"),1,""))))&amp;" = "&amp;K63))),"rumus")</f>
        <v>rumus</v>
      </c>
      <c r="H63" s="28" t="s">
        <v>620</v>
      </c>
      <c r="I63" s="34"/>
      <c r="J63" s="34"/>
      <c r="K63" s="27" t="str">
        <f>IF(AND(I63&lt;&gt;"",J63&lt;&gt;""),(IF(OR(AND(L63="sks&gt;10",L62="sks&lt;=10",IFERROR(SUMPRODUCT($I$59:I62,$J$59:J62)&lt;10,FALSE)),AND(L63="sks&gt;10",L62="")),(((10-SUMPRODUCT($I$59:I62,$J$59:J62))*IF('LAMPIRAN I DONE'!$F$21="Tenaga Pengajar",0.5,IF(OR('LAMPIRAN I DONE'!$F$21="Asisten Ahli",'LAMPIRAN I DONE'!$F$21="Lektor",'LAMPIRAN I DONE'!$F$21="Lektor Kepala",'LAMPIRAN I DONE'!$F$21="Guru Besar"),1,"")))+(((I63*J63)-(10-SUMPRODUCT($I$59:I62,$J$59:J62)))*IF('LAMPIRAN I DONE'!$F$21="Tenaga Pengajar",0.25,IF(OR('LAMPIRAN I DONE'!$F$21="Asisten Ahli",'LAMPIRAN I DONE'!$F$21="Lektor",'LAMPIRAN I DONE'!$F$21="Lektor Kepala",'LAMPIRAN I DONE'!$F$21="Guru Besar"),0.5,"")))),IF(OR(AND(L63="sks&gt;10",L62="sks&gt;10"),AND(L63="sks&gt;10",L62="sks&lt;=10")),I63*J63*IF('LAMPIRAN I DONE'!$F$21="Tenaga Pengajar",0.25,IF(OR('LAMPIRAN I DONE'!$F$21="Asisten Ahli",'LAMPIRAN I DONE'!$F$21="Lektor",'LAMPIRAN I DONE'!$F$21="Lektor Kepala",'LAMPIRAN I DONE'!$F$21="Guru Besar"),0.5,"")),I63*J63*IF('LAMPIRAN I DONE'!$F$21="Tenaga Pengajar",0.5,IF(OR('LAMPIRAN I DONE'!$F$21="Asisten Ahli",'LAMPIRAN I DONE'!$F$21="Lektor",'LAMPIRAN I DONE'!$F$21="Lektor Kepala",'LAMPIRAN I DONE'!$F$21="Guru Besar"),1,""))))),"rumus")</f>
        <v>rumus</v>
      </c>
      <c r="L63" s="27" t="str">
        <f>IF(AND(I63&lt;&gt;"",J63&lt;&gt;""),(IF(SUMPRODUCT($I$60:I63,$J$60:J63)&lt;=10,"SKS&lt;=10",IF(SUMPRODUCT($I$60:I63,$J$60:J63)&gt;10,"SKS&gt;10",""))),"rumus")</f>
        <v>rumus</v>
      </c>
    </row>
    <row r="64" spans="1:14" s="2" customFormat="1" ht="25.5" hidden="1" customHeight="1" x14ac:dyDescent="0.45">
      <c r="A64" s="67">
        <v>5</v>
      </c>
      <c r="B64" s="163" t="s">
        <v>81</v>
      </c>
      <c r="C64" s="28" t="s">
        <v>108</v>
      </c>
      <c r="D64" s="28" t="str">
        <f t="shared" si="10"/>
        <v/>
      </c>
      <c r="E64" s="256" t="str">
        <f>IF(K64&lt;&gt;"rumus",(IF(OR(AND(L64="sks&gt;10",L63="sks&lt;=10",IFERROR(SUMPRODUCT($I$59:I63,$J$59:J63)&lt;10,FALSE)),AND(L64="sks&gt;10",L63="")),(((10-SUMPRODUCT($I$59:I63,$J$59:J63))&amp;" x "&amp;1)&amp;"
"&amp;(((I64*J64)-(10-SUMPRODUCT($I$59:I63,$J$59:J63)))&amp;" x "&amp;1)),(I64&amp;" x "&amp;J64))),"")</f>
        <v/>
      </c>
      <c r="F64" s="256" t="str">
        <f>IF(K64&lt;&gt;"rumus",(IF(OR(AND(L64="sks&gt;10",L63="sks&lt;=10",IFERROR(SUMPRODUCT($I$59:I63,$J$59:J63)&lt;10,FALSE)),AND(L64="sks&gt;10",L63="")),((IF('LAMPIRAN I DONE'!$F$21="Tenaga Pengajar",0.5,IF(OR('LAMPIRAN I DONE'!$F$21="Asisten Ahli",'LAMPIRAN I DONE'!$F$21="Lektor",'LAMPIRAN I DONE'!$F$21="Lektor Kepala",'LAMPIRAN I DONE'!$F$21="Guru Besar"),1,"")))&amp;"
"&amp;(IF('LAMPIRAN I DONE'!$F$21="Tenaga Pengajar",0.25,IF(OR('LAMPIRAN I DONE'!$F$21="Asisten Ahli",'LAMPIRAN I DONE'!$F$21="Lektor",'LAMPIRAN I DONE'!$F$21="Lektor Kepala",'LAMPIRAN I DONE'!$F$21="Guru Besar"),0.5,"")))),((IF(OR(AND(L64="sks&gt;10",L63="sks&gt;10"),AND(L64="sks&gt;10",L63="sks&lt;=10")),IF('LAMPIRAN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f>
        <v/>
      </c>
      <c r="G64" s="105" t="str">
        <f>IF(K64&lt;&gt;"rumus",(IF(OR(AND(L64="sks&gt;10",L63="sks&lt;=10",IFERROR(SUMPRODUCT($I$59:I63,$J$59:J63)&lt;10,FALSE)),AND(L64="sks&gt;10",L63="")),(((10-SUMPRODUCT($I$59:I63,$J$59:J63))&amp;" x "&amp;1&amp;" x "&amp;IF('LAMPIRAN I DONE'!$F$21="Tenaga Pengajar",0.5,IF(OR('LAMPIRAN I DONE'!$F$21="Asisten Ahli",'LAMPIRAN I DONE'!$F$21="Lektor",'LAMPIRAN I DONE'!$F$21="Lektor Kepala",'LAMPIRAN I DONE'!$F$21="Guru Besar"),1,""))&amp;" = "&amp;((10-SUMPRODUCT($I$59:I63,$J$59:J63))*IF('LAMPIRAN I DONE'!$F$21="Tenaga Pengajar",0.5,IF(OR('LAMPIRAN I DONE'!$F$21="Asisten Ahli",'LAMPIRAN I DONE'!$F$21="Lektor",'LAMPIRAN I DONE'!$F$21="Lektor Kepala",'LAMPIRAN I DONE'!$F$21="Guru Besar"),1,""))))&amp;"
"&amp;(((I64*J64)-(10-SUMPRODUCT($I$59:I63,$J$59:J63)))&amp;" x "&amp;1&amp;" x "&amp;IF('LAMPIRAN I DONE'!$F$21="Tenaga Pengajar",0.25,IF(OR('LAMPIRAN I DONE'!$F$21="Asisten Ahli",'LAMPIRAN I DONE'!$F$21="Lektor",'LAMPIRAN I DONE'!$F$21="Lektor Kepala",'LAMPIRAN I DONE'!$F$21="Guru Besar"),0.5,""))&amp;" = "&amp;(((I64*J64)-(10-SUMPRODUCT($I$59:I63,$J$59:J63)))*IF('LAMPIRAN I DONE'!$F$21="Tenaga Pengajar",0.25,IF(OR('LAMPIRAN I DONE'!$F$21="Asisten Ahli",'LAMPIRAN I DONE'!$F$21="Lektor",'LAMPIRAN I DONE'!$F$21="Lektor Kepala",'LAMPIRAN I DONE'!$F$21="Guru Besar"),0.5,""))))),(I64&amp;" x "&amp;J64&amp;" x "&amp;(IF(OR(AND(L64="sks&gt;10",L63="sks&gt;10"),AND(L64="sks&gt;10",L63="sks&lt;=10")),IF('LAMPIRAN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Besar"),1,""))))&amp;" = "&amp;K64))),"rumus")</f>
        <v>rumus</v>
      </c>
      <c r="H64" s="28" t="s">
        <v>620</v>
      </c>
      <c r="I64" s="34"/>
      <c r="J64" s="34"/>
      <c r="K64" s="27" t="str">
        <f>IF(AND(I64&lt;&gt;"",J64&lt;&gt;""),(IF(OR(AND(L64="sks&gt;10",L63="sks&lt;=10",IFERROR(SUMPRODUCT($I$59:I63,$J$59:J63)&lt;10,FALSE)),AND(L64="sks&gt;10",L63="")),(((10-SUMPRODUCT($I$59:I63,$J$59:J63))*IF('LAMPIRAN I DONE'!$F$21="Tenaga Pengajar",0.5,IF(OR('LAMPIRAN I DONE'!$F$21="Asisten Ahli",'LAMPIRAN I DONE'!$F$21="Lektor",'LAMPIRAN I DONE'!$F$21="Lektor Kepala",'LAMPIRAN I DONE'!$F$21="Guru Besar"),1,"")))+(((I64*J64)-(10-SUMPRODUCT($I$59:I63,$J$59:J63)))*IF('LAMPIRAN I DONE'!$F$21="Tenaga Pengajar",0.25,IF(OR('LAMPIRAN I DONE'!$F$21="Asisten Ahli",'LAMPIRAN I DONE'!$F$21="Lektor",'LAMPIRAN I DONE'!$F$21="Lektor Kepala",'LAMPIRAN I DONE'!$F$21="Guru Besar"),0.5,"")))),IF(OR(AND(L64="sks&gt;10",L63="sks&gt;10"),AND(L64="sks&gt;10",L63="sks&lt;=10")),I64*J64*IF('LAMPIRAN I DONE'!$F$21="Tenaga Pengajar",0.25,IF(OR('LAMPIRAN I DONE'!$F$21="Asisten Ahli",'LAMPIRAN I DONE'!$F$21="Lektor",'LAMPIRAN I DONE'!$F$21="Lektor Kepala",'LAMPIRAN I DONE'!$F$21="Guru Besar"),0.5,"")),I64*J64*IF('LAMPIRAN I DONE'!$F$21="Tenaga Pengajar",0.5,IF(OR('LAMPIRAN I DONE'!$F$21="Asisten Ahli",'LAMPIRAN I DONE'!$F$21="Lektor",'LAMPIRAN I DONE'!$F$21="Lektor Kepala",'LAMPIRAN I DONE'!$F$21="Guru Besar"),1,""))))),"rumus")</f>
        <v>rumus</v>
      </c>
      <c r="L64" s="27" t="str">
        <f>IF(AND(I64&lt;&gt;"",J64&lt;&gt;""),(IF(SUMPRODUCT($I$60:I64,$J$60:J64)&lt;=10,"SKS&lt;=10",IF(SUMPRODUCT($I$60:I64,$J$60:J64)&gt;10,"SKS&gt;10",""))),"rumus")</f>
        <v>rumus</v>
      </c>
    </row>
    <row r="65" spans="1:14" s="2" customFormat="1" ht="25.5" hidden="1" customHeight="1" x14ac:dyDescent="0.45">
      <c r="A65" s="67">
        <v>6</v>
      </c>
      <c r="B65" s="163" t="s">
        <v>81</v>
      </c>
      <c r="C65" s="28" t="s">
        <v>108</v>
      </c>
      <c r="D65" s="28" t="str">
        <f t="shared" si="10"/>
        <v/>
      </c>
      <c r="E65" s="256" t="str">
        <f>IF(K65&lt;&gt;"rumus",(IF(OR(AND(L65="sks&gt;10",L64="sks&lt;=10",IFERROR(SUMPRODUCT($I$59:I64,$J$59:J64)&lt;10,FALSE)),AND(L65="sks&gt;10",L64="")),(((10-SUMPRODUCT($I$59:I64,$J$59:J64))&amp;" x "&amp;1)&amp;"
"&amp;(((I65*J65)-(10-SUMPRODUCT($I$59:I64,$J$59:J64)))&amp;" x "&amp;1)),(I65&amp;" x "&amp;J65))),"")</f>
        <v/>
      </c>
      <c r="F65" s="256" t="str">
        <f>IF(K65&lt;&gt;"rumus",(IF(OR(AND(L65="sks&gt;10",L64="sks&lt;=10",IFERROR(SUMPRODUCT($I$59:I64,$J$59:J64)&lt;10,FALSE)),AND(L65="sks&gt;10",L64="")),((IF('LAMPIRAN I DONE'!$F$21="Tenaga Pengajar",0.5,IF(OR('LAMPIRAN I DONE'!$F$21="Asisten Ahli",'LAMPIRAN I DONE'!$F$21="Lektor",'LAMPIRAN I DONE'!$F$21="Lektor Kepala",'LAMPIRAN I DONE'!$F$21="Guru Besar"),1,"")))&amp;"
"&amp;(IF('LAMPIRAN I DONE'!$F$21="Tenaga Pengajar",0.25,IF(OR('LAMPIRAN I DONE'!$F$21="Asisten Ahli",'LAMPIRAN I DONE'!$F$21="Lektor",'LAMPIRAN I DONE'!$F$21="Lektor Kepala",'LAMPIRAN I DONE'!$F$21="Guru Besar"),0.5,"")))),((IF(OR(AND(L65="sks&gt;10",L64="sks&gt;10"),AND(L65="sks&gt;10",L64="sks&lt;=10")),IF('LAMPIRAN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f>
        <v/>
      </c>
      <c r="G65" s="105" t="str">
        <f>IF(K65&lt;&gt;"rumus",(IF(OR(AND(L65="sks&gt;10",L64="sks&lt;=10",IFERROR(SUMPRODUCT($I$59:I64,$J$59:J64)&lt;10,FALSE)),AND(L65="sks&gt;10",L64="")),(((10-SUMPRODUCT($I$59:I64,$J$59:J64))&amp;" x "&amp;1&amp;" x "&amp;IF('LAMPIRAN I DONE'!$F$21="Tenaga Pengajar",0.5,IF(OR('LAMPIRAN I DONE'!$F$21="Asisten Ahli",'LAMPIRAN I DONE'!$F$21="Lektor",'LAMPIRAN I DONE'!$F$21="Lektor Kepala",'LAMPIRAN I DONE'!$F$21="Guru Besar"),1,""))&amp;" = "&amp;((10-SUMPRODUCT($I$59:I64,$J$59:J64))*IF('LAMPIRAN I DONE'!$F$21="Tenaga Pengajar",0.5,IF(OR('LAMPIRAN I DONE'!$F$21="Asisten Ahli",'LAMPIRAN I DONE'!$F$21="Lektor",'LAMPIRAN I DONE'!$F$21="Lektor Kepala",'LAMPIRAN I DONE'!$F$21="Guru Besar"),1,""))))&amp;"
"&amp;(((I65*J65)-(10-SUMPRODUCT($I$59:I64,$J$59:J64)))&amp;" x "&amp;1&amp;" x "&amp;IF('LAMPIRAN I DONE'!$F$21="Tenaga Pengajar",0.25,IF(OR('LAMPIRAN I DONE'!$F$21="Asisten Ahli",'LAMPIRAN I DONE'!$F$21="Lektor",'LAMPIRAN I DONE'!$F$21="Lektor Kepala",'LAMPIRAN I DONE'!$F$21="Guru Besar"),0.5,""))&amp;" = "&amp;(((I65*J65)-(10-SUMPRODUCT($I$59:I64,$J$59:J64)))*IF('LAMPIRAN I DONE'!$F$21="Tenaga Pengajar",0.25,IF(OR('LAMPIRAN I DONE'!$F$21="Asisten Ahli",'LAMPIRAN I DONE'!$F$21="Lektor",'LAMPIRAN I DONE'!$F$21="Lektor Kepala",'LAMPIRAN I DONE'!$F$21="Guru Besar"),0.5,""))))),(I65&amp;" x "&amp;J65&amp;" x "&amp;(IF(OR(AND(L65="sks&gt;10",L64="sks&gt;10"),AND(L65="sks&gt;10",L64="sks&lt;=10")),IF('LAMPIRAN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Besar"),1,""))))&amp;" = "&amp;K65))),"rumus")</f>
        <v>rumus</v>
      </c>
      <c r="H65" s="28" t="s">
        <v>620</v>
      </c>
      <c r="I65" s="34"/>
      <c r="J65" s="34"/>
      <c r="K65" s="27" t="str">
        <f>IF(AND(I65&lt;&gt;"",J65&lt;&gt;""),(IF(OR(AND(L65="sks&gt;10",L64="sks&lt;=10",IFERROR(SUMPRODUCT($I$59:I64,$J$59:J64)&lt;10,FALSE)),AND(L65="sks&gt;10",L64="")),(((10-SUMPRODUCT($I$59:I64,$J$59:J64))*IF('LAMPIRAN I DONE'!$F$21="Tenaga Pengajar",0.5,IF(OR('LAMPIRAN I DONE'!$F$21="Asisten Ahli",'LAMPIRAN I DONE'!$F$21="Lektor",'LAMPIRAN I DONE'!$F$21="Lektor Kepala",'LAMPIRAN I DONE'!$F$21="Guru Besar"),1,"")))+(((I65*J65)-(10-SUMPRODUCT($I$59:I64,$J$59:J64)))*IF('LAMPIRAN I DONE'!$F$21="Tenaga Pengajar",0.25,IF(OR('LAMPIRAN I DONE'!$F$21="Asisten Ahli",'LAMPIRAN I DONE'!$F$21="Lektor",'LAMPIRAN I DONE'!$F$21="Lektor Kepala",'LAMPIRAN I DONE'!$F$21="Guru Besar"),0.5,"")))),IF(OR(AND(L65="sks&gt;10",L64="sks&gt;10"),AND(L65="sks&gt;10",L64="sks&lt;=10")),I65*J65*IF('LAMPIRAN I DONE'!$F$21="Tenaga Pengajar",0.25,IF(OR('LAMPIRAN I DONE'!$F$21="Asisten Ahli",'LAMPIRAN I DONE'!$F$21="Lektor",'LAMPIRAN I DONE'!$F$21="Lektor Kepala",'LAMPIRAN I DONE'!$F$21="Guru Besar"),0.5,"")),I65*J65*IF('LAMPIRAN I DONE'!$F$21="Tenaga Pengajar",0.5,IF(OR('LAMPIRAN I DONE'!$F$21="Asisten Ahli",'LAMPIRAN I DONE'!$F$21="Lektor",'LAMPIRAN I DONE'!$F$21="Lektor Kepala",'LAMPIRAN I DONE'!$F$21="Guru Besar"),1,""))))),"rumus")</f>
        <v>rumus</v>
      </c>
      <c r="L65" s="27" t="str">
        <f>IF(AND(I65&lt;&gt;"",J65&lt;&gt;""),(IF(SUMPRODUCT($I$60:I65,$J$60:J65)&lt;=10,"SKS&lt;=10",IF(SUMPRODUCT($I$60:I65,$J$60:J65)&gt;10,"SKS&gt;10",""))),"rumus")</f>
        <v>rumus</v>
      </c>
    </row>
    <row r="66" spans="1:14" s="2" customFormat="1" ht="15" hidden="1" customHeight="1" x14ac:dyDescent="0.45">
      <c r="A66" s="67"/>
      <c r="B66" s="168" t="str">
        <f>"a. Semester Gasal "&amp;IF(C67&lt;&gt;"",C67,"")&amp;" :"</f>
        <v>a. Semester Gasal 2011/2012 :</v>
      </c>
      <c r="C66" s="111"/>
      <c r="D66" s="111"/>
      <c r="E66" s="111"/>
      <c r="F66" s="111"/>
      <c r="G66" s="111"/>
      <c r="H66" s="112"/>
      <c r="I66" s="496"/>
      <c r="J66" s="496"/>
      <c r="K66" s="109"/>
      <c r="L66" s="109"/>
      <c r="M66" s="104">
        <f>IF((AND(N66="Max 5,5",SUM(K60:K65)&lt;=5.5)),SUM(K60:K65),IF((AND(N66="Max 5,5",SUM(K60:K65)&gt;5.5)),5.5,IF((AND(N66="Max 11",SUM(K60:K65)&lt;=11)),SUM(K60:K65),IF((AND(N66="Max 11",SUM(K60:K65)&gt;11)),11,""))))</f>
        <v>0</v>
      </c>
      <c r="N66" s="33" t="str">
        <f>IF('LAMPIRAN I DONE'!$F$21="Tenaga Pengajar","Max 5,5",IF(OR('LAMPIRAN I DONE'!$F$21="Asisten Ahli",'LAMPIRAN I DONE'!$F$21="Lektor",'LAMPIRAN I DONE'!$F$21="Lektor Kepala",'LAMPIRAN I DONE'!$F$21="Guru Besar"),"Max 11",""))</f>
        <v>Max 11</v>
      </c>
    </row>
    <row r="67" spans="1:14" s="2" customFormat="1" ht="25.5" hidden="1" customHeight="1" x14ac:dyDescent="0.45">
      <c r="A67" s="67">
        <v>1</v>
      </c>
      <c r="B67" s="163" t="s">
        <v>81</v>
      </c>
      <c r="C67" s="28" t="s">
        <v>112</v>
      </c>
      <c r="D67" s="28" t="str">
        <f>IF(G67&lt;&gt;"rumus","SKS","")</f>
        <v/>
      </c>
      <c r="E67" s="256" t="str">
        <f>IF(K67&lt;&gt;"rumus",(IF(OR(AND(L67="sks&gt;10",L66="sks&lt;=10",IFERROR(SUMPRODUCT($I$66:I66,$J$66:J66)&lt;10,FALSE)),AND(L67="sks&gt;10",L66="")),(((10-SUMPRODUCT($I$66:I66,$J$66:J66))&amp;" x "&amp;1)&amp;"
"&amp;(((I67*J67)-(10-SUMPRODUCT($I$66:I66,$J$66:J66)))&amp;" x "&amp;1)),(I67&amp;" x "&amp;J67))),"")</f>
        <v/>
      </c>
      <c r="F67" s="256" t="str">
        <f>IF(K67&lt;&gt;"rumus",(IF(OR(AND(L67="sks&gt;10",L66="sks&lt;=10",IFERROR(SUMPRODUCT($I$66:I66,$J$66:J66)&lt;10,FALSE)),AND(L67="sks&gt;10",L66="")),((IF('LAMPIRAN I DONE'!$F$21="Tenaga Pengajar",0.5,IF(OR('LAMPIRAN I DONE'!$F$21="Asisten Ahli",'LAMPIRAN I DONE'!$F$21="Lektor",'LAMPIRAN I DONE'!$F$21="Lektor Kepala",'LAMPIRAN I DONE'!$F$21="Guru Besar"),1,"")))&amp;"
"&amp;(IF('LAMPIRAN I DONE'!$F$21="Tenaga Pengajar",0.25,IF(OR('LAMPIRAN I DONE'!$F$21="Asisten Ahli",'LAMPIRAN I DONE'!$F$21="Lektor",'LAMPIRAN I DONE'!$F$21="Lektor Kepala",'LAMPIRAN I DONE'!$F$21="Guru Besar"),0.5,"")))),((IF(OR(AND(L67="sks&gt;10",L66="sks&gt;10"),AND(L67="sks&gt;10",L66="sks&lt;=10")),IF('LAMPIRAN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f>
        <v/>
      </c>
      <c r="G67" s="105" t="str">
        <f>IF(K67&lt;&gt;"rumus",(IF(OR(AND(L67="sks&gt;10",L66="sks&lt;=10",IFERROR(SUMPRODUCT($I$66:I66,$J$66:J66)&lt;10,FALSE)),AND(L67="sks&gt;10",L66="")),(((10-SUMPRODUCT($I$66:I66,$J$66:J66))&amp;" x "&amp;1&amp;" x "&amp;IF('LAMPIRAN I DONE'!$F$21="Tenaga Pengajar",0.5,IF(OR('LAMPIRAN I DONE'!$F$21="Asisten Ahli",'LAMPIRAN I DONE'!$F$21="Lektor",'LAMPIRAN I DONE'!$F$21="Lektor Kepala",'LAMPIRAN I DONE'!$F$21="Guru Besar"),1,""))&amp;" = "&amp;((10-SUMPRODUCT($I$66:I66,$J$66:J66))*IF('LAMPIRAN I DONE'!$F$21="Tenaga Pengajar",0.5,IF(OR('LAMPIRAN I DONE'!$F$21="Asisten Ahli",'LAMPIRAN I DONE'!$F$21="Lektor",'LAMPIRAN I DONE'!$F$21="Lektor Kepala",'LAMPIRAN I DONE'!$F$21="Guru Besar"),1,""))))&amp;"
"&amp;(((I67*J67)-(10-SUMPRODUCT($I$66:I66,$J$66:J66)))&amp;" x "&amp;1&amp;" x "&amp;IF('LAMPIRAN I DONE'!$F$21="Tenaga Pengajar",0.25,IF(OR('LAMPIRAN I DONE'!$F$21="Asisten Ahli",'LAMPIRAN I DONE'!$F$21="Lektor",'LAMPIRAN I DONE'!$F$21="Lektor Kepala",'LAMPIRAN I DONE'!$F$21="Guru Besar"),0.5,""))&amp;" = "&amp;(((I67*J67)-(10-SUMPRODUCT($I$66:I66,$J$66:J66)))*IF('LAMPIRAN I DONE'!$F$21="Tenaga Pengajar",0.25,IF(OR('LAMPIRAN I DONE'!$F$21="Asisten Ahli",'LAMPIRAN I DONE'!$F$21="Lektor",'LAMPIRAN I DONE'!$F$21="Lektor Kepala",'LAMPIRAN I DONE'!$F$21="Guru Besar"),0.5,""))))),(I67&amp;" x "&amp;J67&amp;" x "&amp;(IF(OR(AND(L67="sks&gt;10",L66="sks&gt;10"),AND(L67="sks&gt;10",L66="sks&lt;=10")),IF('LAMPIRAN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Besar"),1,""))))&amp;" = "&amp;K67))),"rumus")</f>
        <v>rumus</v>
      </c>
      <c r="H67" s="28" t="s">
        <v>620</v>
      </c>
      <c r="I67" s="34"/>
      <c r="J67" s="34"/>
      <c r="K67" s="27" t="str">
        <f>IF(AND(I67&lt;&gt;"",J67&lt;&gt;""),(IF(OR(AND(L67="sks&gt;10",L66="sks&lt;=10",IFERROR(SUMPRODUCT($I$66:I66,$J$66:J66)&lt;10,FALSE)),AND(L67="sks&gt;10",L66="")),(((10-SUMPRODUCT($I$66:I66,$J$66:J66))*IF('LAMPIRAN I DONE'!$F$21="Tenaga Pengajar",0.5,IF(OR('LAMPIRAN I DONE'!$F$21="Asisten Ahli",'LAMPIRAN I DONE'!$F$21="Lektor",'LAMPIRAN I DONE'!$F$21="Lektor Kepala",'LAMPIRAN I DONE'!$F$21="Guru Besar"),1,"")))+(((I67*J67)-(10-SUMPRODUCT($I$66:I66,$J$66:J66)))*IF('LAMPIRAN I DONE'!$F$21="Tenaga Pengajar",0.25,IF(OR('LAMPIRAN I DONE'!$F$21="Asisten Ahli",'LAMPIRAN I DONE'!$F$21="Lektor",'LAMPIRAN I DONE'!$F$21="Lektor Kepala",'LAMPIRAN I DONE'!$F$21="Guru Besar"),0.5,"")))),IF(OR(AND(L67="sks&gt;10",L66="sks&gt;10"),AND(L67="sks&gt;10",L66="sks&lt;=10")),I67*J67*IF('LAMPIRAN I DONE'!$F$21="Tenaga Pengajar",0.25,IF(OR('LAMPIRAN I DONE'!$F$21="Asisten Ahli",'LAMPIRAN I DONE'!$F$21="Lektor",'LAMPIRAN I DONE'!$F$21="Lektor Kepala",'LAMPIRAN I DONE'!$F$21="Guru Besar"),0.5,"")),I67*J67*IF('LAMPIRAN I DONE'!$F$21="Tenaga Pengajar",0.5,IF(OR('LAMPIRAN I DONE'!$F$21="Asisten Ahli",'LAMPIRAN I DONE'!$F$21="Lektor",'LAMPIRAN I DONE'!$F$21="Lektor Kepala",'LAMPIRAN I DONE'!$F$21="Guru Besar"),1,""))))),"rumus")</f>
        <v>rumus</v>
      </c>
      <c r="L67" s="27" t="str">
        <f>IF(AND(I67&lt;&gt;"",J67&lt;&gt;""),(IF(SUMPRODUCT($I$67:I67,$J$67:J67)&lt;=10,"SKS&lt;=10",IF(SUMPRODUCT($I$67:I67,$J$67:J67)&gt;10,"SKS&gt;10",""))),"rumus")</f>
        <v>rumus</v>
      </c>
    </row>
    <row r="68" spans="1:14" s="2" customFormat="1" ht="25.5" hidden="1" customHeight="1" x14ac:dyDescent="0.45">
      <c r="A68" s="67">
        <v>2</v>
      </c>
      <c r="B68" s="163" t="s">
        <v>81</v>
      </c>
      <c r="C68" s="28" t="s">
        <v>112</v>
      </c>
      <c r="D68" s="28" t="str">
        <f t="shared" ref="D68:D72" si="11">IF(G68&lt;&gt;"rumus","SKS","")</f>
        <v/>
      </c>
      <c r="E68" s="256" t="str">
        <f>IF(K68&lt;&gt;"rumus",(IF(OR(AND(L68="sks&gt;10",L67="sks&lt;=10",IFERROR(SUMPRODUCT($I$66:I67,$J$66:J67)&lt;10,FALSE)),AND(L68="sks&gt;10",L67="")),(((10-SUMPRODUCT($I$66:I67,$J$66:J67))&amp;" x "&amp;1)&amp;"
"&amp;(((I68*J68)-(10-SUMPRODUCT($I$66:I67,$J$66:J67)))&amp;" x "&amp;1)),(I68&amp;" x "&amp;J68))),"")</f>
        <v/>
      </c>
      <c r="F68" s="256" t="str">
        <f>IF(K68&lt;&gt;"rumus",(IF(OR(AND(L68="sks&gt;10",L67="sks&lt;=10",IFERROR(SUMPRODUCT($I$66:I67,$J$66:J67)&lt;10,FALSE)),AND(L68="sks&gt;10",L67="")),((IF('LAMPIRAN I DONE'!$F$21="Tenaga Pengajar",0.5,IF(OR('LAMPIRAN I DONE'!$F$21="Asisten Ahli",'LAMPIRAN I DONE'!$F$21="Lektor",'LAMPIRAN I DONE'!$F$21="Lektor Kepala",'LAMPIRAN I DONE'!$F$21="Guru Besar"),1,"")))&amp;"
"&amp;(IF('LAMPIRAN I DONE'!$F$21="Tenaga Pengajar",0.25,IF(OR('LAMPIRAN I DONE'!$F$21="Asisten Ahli",'LAMPIRAN I DONE'!$F$21="Lektor",'LAMPIRAN I DONE'!$F$21="Lektor Kepala",'LAMPIRAN I DONE'!$F$21="Guru Besar"),0.5,"")))),((IF(OR(AND(L68="sks&gt;10",L67="sks&gt;10"),AND(L68="sks&gt;10",L67="sks&lt;=10")),IF('LAMPIRAN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f>
        <v/>
      </c>
      <c r="G68" s="105" t="str">
        <f>IF(K68&lt;&gt;"rumus",(IF(OR(AND(L68="sks&gt;10",L67="sks&lt;=10",IFERROR(SUMPRODUCT($I$66:I67,$J$66:J67)&lt;10,FALSE)),AND(L68="sks&gt;10",L67="")),(((10-SUMPRODUCT($I$66:I67,$J$66:J67))&amp;" x "&amp;1&amp;" x "&amp;IF('LAMPIRAN I DONE'!$F$21="Tenaga Pengajar",0.5,IF(OR('LAMPIRAN I DONE'!$F$21="Asisten Ahli",'LAMPIRAN I DONE'!$F$21="Lektor",'LAMPIRAN I DONE'!$F$21="Lektor Kepala",'LAMPIRAN I DONE'!$F$21="Guru Besar"),1,""))&amp;" = "&amp;((10-SUMPRODUCT($I$66:I67,$J$66:J67))*IF('LAMPIRAN I DONE'!$F$21="Tenaga Pengajar",0.5,IF(OR('LAMPIRAN I DONE'!$F$21="Asisten Ahli",'LAMPIRAN I DONE'!$F$21="Lektor",'LAMPIRAN I DONE'!$F$21="Lektor Kepala",'LAMPIRAN I DONE'!$F$21="Guru Besar"),1,""))))&amp;"
"&amp;(((I68*J68)-(10-SUMPRODUCT($I$66:I67,$J$66:J67)))&amp;" x "&amp;1&amp;" x "&amp;IF('LAMPIRAN I DONE'!$F$21="Tenaga Pengajar",0.25,IF(OR('LAMPIRAN I DONE'!$F$21="Asisten Ahli",'LAMPIRAN I DONE'!$F$21="Lektor",'LAMPIRAN I DONE'!$F$21="Lektor Kepala",'LAMPIRAN I DONE'!$F$21="Guru Besar"),0.5,""))&amp;" = "&amp;(((I68*J68)-(10-SUMPRODUCT($I$66:I67,$J$66:J67)))*IF('LAMPIRAN I DONE'!$F$21="Tenaga Pengajar",0.25,IF(OR('LAMPIRAN I DONE'!$F$21="Asisten Ahli",'LAMPIRAN I DONE'!$F$21="Lektor",'LAMPIRAN I DONE'!$F$21="Lektor Kepala",'LAMPIRAN I DONE'!$F$21="Guru Besar"),0.5,""))))),(I68&amp;" x "&amp;J68&amp;" x "&amp;(IF(OR(AND(L68="sks&gt;10",L67="sks&gt;10"),AND(L68="sks&gt;10",L67="sks&lt;=10")),IF('LAMPIRAN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Besar"),1,""))))&amp;" = "&amp;K68))),"rumus")</f>
        <v>rumus</v>
      </c>
      <c r="H68" s="28" t="s">
        <v>620</v>
      </c>
      <c r="I68" s="34"/>
      <c r="J68" s="34"/>
      <c r="K68" s="27" t="str">
        <f>IF(AND(I68&lt;&gt;"",J68&lt;&gt;""),(IF(OR(AND(L68="sks&gt;10",L67="sks&lt;=10",IFERROR(SUMPRODUCT($I$66:I67,$J$66:J67)&lt;10,FALSE)),AND(L68="sks&gt;10",L67="")),(((10-SUMPRODUCT($I$66:I67,$J$66:J67))*IF('LAMPIRAN I DONE'!$F$21="Tenaga Pengajar",0.5,IF(OR('LAMPIRAN I DONE'!$F$21="Asisten Ahli",'LAMPIRAN I DONE'!$F$21="Lektor",'LAMPIRAN I DONE'!$F$21="Lektor Kepala",'LAMPIRAN I DONE'!$F$21="Guru Besar"),1,"")))+(((I68*J68)-(10-SUMPRODUCT($I$66:I67,$J$66:J67)))*IF('LAMPIRAN I DONE'!$F$21="Tenaga Pengajar",0.25,IF(OR('LAMPIRAN I DONE'!$F$21="Asisten Ahli",'LAMPIRAN I DONE'!$F$21="Lektor",'LAMPIRAN I DONE'!$F$21="Lektor Kepala",'LAMPIRAN I DONE'!$F$21="Guru Besar"),0.5,"")))),IF(OR(AND(L68="sks&gt;10",L67="sks&gt;10"),AND(L68="sks&gt;10",L67="sks&lt;=10")),I68*J68*IF('LAMPIRAN I DONE'!$F$21="Tenaga Pengajar",0.25,IF(OR('LAMPIRAN I DONE'!$F$21="Asisten Ahli",'LAMPIRAN I DONE'!$F$21="Lektor",'LAMPIRAN I DONE'!$F$21="Lektor Kepala",'LAMPIRAN I DONE'!$F$21="Guru Besar"),0.5,"")),I68*J68*IF('LAMPIRAN I DONE'!$F$21="Tenaga Pengajar",0.5,IF(OR('LAMPIRAN I DONE'!$F$21="Asisten Ahli",'LAMPIRAN I DONE'!$F$21="Lektor",'LAMPIRAN I DONE'!$F$21="Lektor Kepala",'LAMPIRAN I DONE'!$F$21="Guru Besar"),1,""))))),"rumus")</f>
        <v>rumus</v>
      </c>
      <c r="L68" s="27" t="str">
        <f>IF(AND(I68&lt;&gt;"",J68&lt;&gt;""),(IF(SUMPRODUCT($I$67:I68,$J$67:J68)&lt;=10,"SKS&lt;=10",IF(SUMPRODUCT($I$67:I68,$J$67:J68)&gt;10,"SKS&gt;10",""))),"rumus")</f>
        <v>rumus</v>
      </c>
    </row>
    <row r="69" spans="1:14" s="2" customFormat="1" ht="25.5" hidden="1" customHeight="1" x14ac:dyDescent="0.45">
      <c r="A69" s="67">
        <v>3</v>
      </c>
      <c r="B69" s="163" t="s">
        <v>81</v>
      </c>
      <c r="C69" s="28" t="s">
        <v>112</v>
      </c>
      <c r="D69" s="28" t="str">
        <f t="shared" si="11"/>
        <v/>
      </c>
      <c r="E69" s="256" t="str">
        <f>IF(K69&lt;&gt;"rumus",(IF(OR(AND(L69="sks&gt;10",L68="sks&lt;=10",IFERROR(SUMPRODUCT($I$66:I68,$J$66:J68)&lt;10,FALSE)),AND(L69="sks&gt;10",L68="")),(((10-SUMPRODUCT($I$66:I68,$J$66:J68))&amp;" x "&amp;1)&amp;"
"&amp;(((I69*J69)-(10-SUMPRODUCT($I$66:I68,$J$66:J68)))&amp;" x "&amp;1)),(I69&amp;" x "&amp;J69))),"")</f>
        <v/>
      </c>
      <c r="F69" s="256" t="str">
        <f>IF(K69&lt;&gt;"rumus",(IF(OR(AND(L69="sks&gt;10",L68="sks&lt;=10",IFERROR(SUMPRODUCT($I$66:I68,$J$66:J68)&lt;10,FALSE)),AND(L69="sks&gt;10",L68="")),((IF('LAMPIRAN I DONE'!$F$21="Tenaga Pengajar",0.5,IF(OR('LAMPIRAN I DONE'!$F$21="Asisten Ahli",'LAMPIRAN I DONE'!$F$21="Lektor",'LAMPIRAN I DONE'!$F$21="Lektor Kepala",'LAMPIRAN I DONE'!$F$21="Guru Besar"),1,"")))&amp;"
"&amp;(IF('LAMPIRAN I DONE'!$F$21="Tenaga Pengajar",0.25,IF(OR('LAMPIRAN I DONE'!$F$21="Asisten Ahli",'LAMPIRAN I DONE'!$F$21="Lektor",'LAMPIRAN I DONE'!$F$21="Lektor Kepala",'LAMPIRAN I DONE'!$F$21="Guru Besar"),0.5,"")))),((IF(OR(AND(L69="sks&gt;10",L68="sks&gt;10"),AND(L69="sks&gt;10",L68="sks&lt;=10")),IF('LAMPIRAN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f>
        <v/>
      </c>
      <c r="G69" s="105" t="str">
        <f>IF(K69&lt;&gt;"rumus",(IF(OR(AND(L69="sks&gt;10",L68="sks&lt;=10",IFERROR(SUMPRODUCT($I$66:I68,$J$66:J68)&lt;10,FALSE)),AND(L69="sks&gt;10",L68="")),(((10-SUMPRODUCT($I$66:I68,$J$66:J68))&amp;" x "&amp;1&amp;" x "&amp;IF('LAMPIRAN I DONE'!$F$21="Tenaga Pengajar",0.5,IF(OR('LAMPIRAN I DONE'!$F$21="Asisten Ahli",'LAMPIRAN I DONE'!$F$21="Lektor",'LAMPIRAN I DONE'!$F$21="Lektor Kepala",'LAMPIRAN I DONE'!$F$21="Guru Besar"),1,""))&amp;" = "&amp;((10-SUMPRODUCT($I$66:I68,$J$66:J68))*IF('LAMPIRAN I DONE'!$F$21="Tenaga Pengajar",0.5,IF(OR('LAMPIRAN I DONE'!$F$21="Asisten Ahli",'LAMPIRAN I DONE'!$F$21="Lektor",'LAMPIRAN I DONE'!$F$21="Lektor Kepala",'LAMPIRAN I DONE'!$F$21="Guru Besar"),1,""))))&amp;"
"&amp;(((I69*J69)-(10-SUMPRODUCT($I$66:I68,$J$66:J68)))&amp;" x "&amp;1&amp;" x "&amp;IF('LAMPIRAN I DONE'!$F$21="Tenaga Pengajar",0.25,IF(OR('LAMPIRAN I DONE'!$F$21="Asisten Ahli",'LAMPIRAN I DONE'!$F$21="Lektor",'LAMPIRAN I DONE'!$F$21="Lektor Kepala",'LAMPIRAN I DONE'!$F$21="Guru Besar"),0.5,""))&amp;" = "&amp;(((I69*J69)-(10-SUMPRODUCT($I$66:I68,$J$66:J68)))*IF('LAMPIRAN I DONE'!$F$21="Tenaga Pengajar",0.25,IF(OR('LAMPIRAN I DONE'!$F$21="Asisten Ahli",'LAMPIRAN I DONE'!$F$21="Lektor",'LAMPIRAN I DONE'!$F$21="Lektor Kepala",'LAMPIRAN I DONE'!$F$21="Guru Besar"),0.5,""))))),(I69&amp;" x "&amp;J69&amp;" x "&amp;(IF(OR(AND(L69="sks&gt;10",L68="sks&gt;10"),AND(L69="sks&gt;10",L68="sks&lt;=10")),IF('LAMPIRAN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Besar"),1,""))))&amp;" = "&amp;K69))),"rumus")</f>
        <v>rumus</v>
      </c>
      <c r="H69" s="28" t="s">
        <v>620</v>
      </c>
      <c r="I69" s="34"/>
      <c r="J69" s="34"/>
      <c r="K69" s="27" t="str">
        <f>IF(AND(I69&lt;&gt;"",J69&lt;&gt;""),(IF(OR(AND(L69="sks&gt;10",L68="sks&lt;=10",IFERROR(SUMPRODUCT($I$66:I68,$J$66:J68)&lt;10,FALSE)),AND(L69="sks&gt;10",L68="")),(((10-SUMPRODUCT($I$66:I68,$J$66:J68))*IF('LAMPIRAN I DONE'!$F$21="Tenaga Pengajar",0.5,IF(OR('LAMPIRAN I DONE'!$F$21="Asisten Ahli",'LAMPIRAN I DONE'!$F$21="Lektor",'LAMPIRAN I DONE'!$F$21="Lektor Kepala",'LAMPIRAN I DONE'!$F$21="Guru Besar"),1,"")))+(((I69*J69)-(10-SUMPRODUCT($I$66:I68,$J$66:J68)))*IF('LAMPIRAN I DONE'!$F$21="Tenaga Pengajar",0.25,IF(OR('LAMPIRAN I DONE'!$F$21="Asisten Ahli",'LAMPIRAN I DONE'!$F$21="Lektor",'LAMPIRAN I DONE'!$F$21="Lektor Kepala",'LAMPIRAN I DONE'!$F$21="Guru Besar"),0.5,"")))),IF(OR(AND(L69="sks&gt;10",L68="sks&gt;10"),AND(L69="sks&gt;10",L68="sks&lt;=10")),I69*J69*IF('LAMPIRAN I DONE'!$F$21="Tenaga Pengajar",0.25,IF(OR('LAMPIRAN I DONE'!$F$21="Asisten Ahli",'LAMPIRAN I DONE'!$F$21="Lektor",'LAMPIRAN I DONE'!$F$21="Lektor Kepala",'LAMPIRAN I DONE'!$F$21="Guru Besar"),0.5,"")),I69*J69*IF('LAMPIRAN I DONE'!$F$21="Tenaga Pengajar",0.5,IF(OR('LAMPIRAN I DONE'!$F$21="Asisten Ahli",'LAMPIRAN I DONE'!$F$21="Lektor",'LAMPIRAN I DONE'!$F$21="Lektor Kepala",'LAMPIRAN I DONE'!$F$21="Guru Besar"),1,""))))),"rumus")</f>
        <v>rumus</v>
      </c>
      <c r="L69" s="27" t="str">
        <f>IF(AND(I69&lt;&gt;"",J69&lt;&gt;""),(IF(SUMPRODUCT($I$67:I69,$J$67:J69)&lt;=10,"SKS&lt;=10",IF(SUMPRODUCT($I$67:I69,$J$67:J69)&gt;10,"SKS&gt;10",""))),"rumus")</f>
        <v>rumus</v>
      </c>
    </row>
    <row r="70" spans="1:14" s="2" customFormat="1" ht="25.5" hidden="1" customHeight="1" x14ac:dyDescent="0.45">
      <c r="A70" s="67">
        <v>4</v>
      </c>
      <c r="B70" s="163" t="s">
        <v>81</v>
      </c>
      <c r="C70" s="28" t="s">
        <v>112</v>
      </c>
      <c r="D70" s="28" t="str">
        <f t="shared" si="11"/>
        <v/>
      </c>
      <c r="E70" s="256" t="str">
        <f>IF(K70&lt;&gt;"rumus",(IF(OR(AND(L70="sks&gt;10",L69="sks&lt;=10",IFERROR(SUMPRODUCT($I$66:I69,$J$66:J69)&lt;10,FALSE)),AND(L70="sks&gt;10",L69="")),(((10-SUMPRODUCT($I$66:I69,$J$66:J69))&amp;" x "&amp;1)&amp;"
"&amp;(((I70*J70)-(10-SUMPRODUCT($I$66:I69,$J$66:J69)))&amp;" x "&amp;1)),(I70&amp;" x "&amp;J70))),"")</f>
        <v/>
      </c>
      <c r="F70" s="256" t="str">
        <f>IF(K70&lt;&gt;"rumus",(IF(OR(AND(L70="sks&gt;10",L69="sks&lt;=10",IFERROR(SUMPRODUCT($I$66:I69,$J$66:J69)&lt;10,FALSE)),AND(L70="sks&gt;10",L69="")),((IF('LAMPIRAN I DONE'!$F$21="Tenaga Pengajar",0.5,IF(OR('LAMPIRAN I DONE'!$F$21="Asisten Ahli",'LAMPIRAN I DONE'!$F$21="Lektor",'LAMPIRAN I DONE'!$F$21="Lektor Kepala",'LAMPIRAN I DONE'!$F$21="Guru Besar"),1,"")))&amp;"
"&amp;(IF('LAMPIRAN I DONE'!$F$21="Tenaga Pengajar",0.25,IF(OR('LAMPIRAN I DONE'!$F$21="Asisten Ahli",'LAMPIRAN I DONE'!$F$21="Lektor",'LAMPIRAN I DONE'!$F$21="Lektor Kepala",'LAMPIRAN I DONE'!$F$21="Guru Besar"),0.5,"")))),((IF(OR(AND(L70="sks&gt;10",L69="sks&gt;10"),AND(L70="sks&gt;10",L69="sks&lt;=10")),IF('LAMPIRAN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f>
        <v/>
      </c>
      <c r="G70" s="105" t="str">
        <f>IF(K70&lt;&gt;"rumus",(IF(OR(AND(L70="sks&gt;10",L69="sks&lt;=10",IFERROR(SUMPRODUCT($I$66:I69,$J$66:J69)&lt;10,FALSE)),AND(L70="sks&gt;10",L69="")),(((10-SUMPRODUCT($I$66:I69,$J$66:J69))&amp;" x "&amp;1&amp;" x "&amp;IF('LAMPIRAN I DONE'!$F$21="Tenaga Pengajar",0.5,IF(OR('LAMPIRAN I DONE'!$F$21="Asisten Ahli",'LAMPIRAN I DONE'!$F$21="Lektor",'LAMPIRAN I DONE'!$F$21="Lektor Kepala",'LAMPIRAN I DONE'!$F$21="Guru Besar"),1,""))&amp;" = "&amp;((10-SUMPRODUCT($I$66:I69,$J$66:J69))*IF('LAMPIRAN I DONE'!$F$21="Tenaga Pengajar",0.5,IF(OR('LAMPIRAN I DONE'!$F$21="Asisten Ahli",'LAMPIRAN I DONE'!$F$21="Lektor",'LAMPIRAN I DONE'!$F$21="Lektor Kepala",'LAMPIRAN I DONE'!$F$21="Guru Besar"),1,""))))&amp;"
"&amp;(((I70*J70)-(10-SUMPRODUCT($I$66:I69,$J$66:J69)))&amp;" x "&amp;1&amp;" x "&amp;IF('LAMPIRAN I DONE'!$F$21="Tenaga Pengajar",0.25,IF(OR('LAMPIRAN I DONE'!$F$21="Asisten Ahli",'LAMPIRAN I DONE'!$F$21="Lektor",'LAMPIRAN I DONE'!$F$21="Lektor Kepala",'LAMPIRAN I DONE'!$F$21="Guru Besar"),0.5,""))&amp;" = "&amp;(((I70*J70)-(10-SUMPRODUCT($I$66:I69,$J$66:J69)))*IF('LAMPIRAN I DONE'!$F$21="Tenaga Pengajar",0.25,IF(OR('LAMPIRAN I DONE'!$F$21="Asisten Ahli",'LAMPIRAN I DONE'!$F$21="Lektor",'LAMPIRAN I DONE'!$F$21="Lektor Kepala",'LAMPIRAN I DONE'!$F$21="Guru Besar"),0.5,""))))),(I70&amp;" x "&amp;J70&amp;" x "&amp;(IF(OR(AND(L70="sks&gt;10",L69="sks&gt;10"),AND(L70="sks&gt;10",L69="sks&lt;=10")),IF('LAMPIRAN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Besar"),1,""))))&amp;" = "&amp;K70))),"rumus")</f>
        <v>rumus</v>
      </c>
      <c r="H70" s="28" t="s">
        <v>620</v>
      </c>
      <c r="I70" s="34"/>
      <c r="J70" s="34"/>
      <c r="K70" s="27" t="str">
        <f>IF(AND(I70&lt;&gt;"",J70&lt;&gt;""),(IF(OR(AND(L70="sks&gt;10",L69="sks&lt;=10",IFERROR(SUMPRODUCT($I$66:I69,$J$66:J69)&lt;10,FALSE)),AND(L70="sks&gt;10",L69="")),(((10-SUMPRODUCT($I$66:I69,$J$66:J69))*IF('LAMPIRAN I DONE'!$F$21="Tenaga Pengajar",0.5,IF(OR('LAMPIRAN I DONE'!$F$21="Asisten Ahli",'LAMPIRAN I DONE'!$F$21="Lektor",'LAMPIRAN I DONE'!$F$21="Lektor Kepala",'LAMPIRAN I DONE'!$F$21="Guru Besar"),1,"")))+(((I70*J70)-(10-SUMPRODUCT($I$66:I69,$J$66:J69)))*IF('LAMPIRAN I DONE'!$F$21="Tenaga Pengajar",0.25,IF(OR('LAMPIRAN I DONE'!$F$21="Asisten Ahli",'LAMPIRAN I DONE'!$F$21="Lektor",'LAMPIRAN I DONE'!$F$21="Lektor Kepala",'LAMPIRAN I DONE'!$F$21="Guru Besar"),0.5,"")))),IF(OR(AND(L70="sks&gt;10",L69="sks&gt;10"),AND(L70="sks&gt;10",L69="sks&lt;=10")),I70*J70*IF('LAMPIRAN I DONE'!$F$21="Tenaga Pengajar",0.25,IF(OR('LAMPIRAN I DONE'!$F$21="Asisten Ahli",'LAMPIRAN I DONE'!$F$21="Lektor",'LAMPIRAN I DONE'!$F$21="Lektor Kepala",'LAMPIRAN I DONE'!$F$21="Guru Besar"),0.5,"")),I70*J70*IF('LAMPIRAN I DONE'!$F$21="Tenaga Pengajar",0.5,IF(OR('LAMPIRAN I DONE'!$F$21="Asisten Ahli",'LAMPIRAN I DONE'!$F$21="Lektor",'LAMPIRAN I DONE'!$F$21="Lektor Kepala",'LAMPIRAN I DONE'!$F$21="Guru Besar"),1,""))))),"rumus")</f>
        <v>rumus</v>
      </c>
      <c r="L70" s="27" t="str">
        <f>IF(AND(I70&lt;&gt;"",J70&lt;&gt;""),(IF(SUMPRODUCT($I$67:I70,$J$67:J70)&lt;=10,"SKS&lt;=10",IF(SUMPRODUCT($I$67:I70,$J$67:J70)&gt;10,"SKS&gt;10",""))),"rumus")</f>
        <v>rumus</v>
      </c>
    </row>
    <row r="71" spans="1:14" s="2" customFormat="1" ht="25.5" hidden="1" customHeight="1" x14ac:dyDescent="0.45">
      <c r="A71" s="67">
        <v>5</v>
      </c>
      <c r="B71" s="163" t="s">
        <v>81</v>
      </c>
      <c r="C71" s="28" t="s">
        <v>112</v>
      </c>
      <c r="D71" s="28" t="str">
        <f t="shared" si="11"/>
        <v/>
      </c>
      <c r="E71" s="256" t="str">
        <f>IF(K71&lt;&gt;"rumus",(IF(OR(AND(L71="sks&gt;10",L70="sks&lt;=10",IFERROR(SUMPRODUCT($I$66:I70,$J$66:J70)&lt;10,FALSE)),AND(L71="sks&gt;10",L70="")),(((10-SUMPRODUCT($I$66:I70,$J$66:J70))&amp;" x "&amp;1)&amp;"
"&amp;(((I71*J71)-(10-SUMPRODUCT($I$66:I70,$J$66:J70)))&amp;" x "&amp;1)),(I71&amp;" x "&amp;J71))),"")</f>
        <v/>
      </c>
      <c r="F71" s="256" t="str">
        <f>IF(K71&lt;&gt;"rumus",(IF(OR(AND(L71="sks&gt;10",L70="sks&lt;=10",IFERROR(SUMPRODUCT($I$66:I70,$J$66:J70)&lt;10,FALSE)),AND(L71="sks&gt;10",L70="")),((IF('LAMPIRAN I DONE'!$F$21="Tenaga Pengajar",0.5,IF(OR('LAMPIRAN I DONE'!$F$21="Asisten Ahli",'LAMPIRAN I DONE'!$F$21="Lektor",'LAMPIRAN I DONE'!$F$21="Lektor Kepala",'LAMPIRAN I DONE'!$F$21="Guru Besar"),1,"")))&amp;"
"&amp;(IF('LAMPIRAN I DONE'!$F$21="Tenaga Pengajar",0.25,IF(OR('LAMPIRAN I DONE'!$F$21="Asisten Ahli",'LAMPIRAN I DONE'!$F$21="Lektor",'LAMPIRAN I DONE'!$F$21="Lektor Kepala",'LAMPIRAN I DONE'!$F$21="Guru Besar"),0.5,"")))),((IF(OR(AND(L71="sks&gt;10",L70="sks&gt;10"),AND(L71="sks&gt;10",L70="sks&lt;=10")),IF('LAMPIRAN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f>
        <v/>
      </c>
      <c r="G71" s="105" t="str">
        <f>IF(K71&lt;&gt;"rumus",(IF(OR(AND(L71="sks&gt;10",L70="sks&lt;=10",IFERROR(SUMPRODUCT($I$66:I70,$J$66:J70)&lt;10,FALSE)),AND(L71="sks&gt;10",L70="")),(((10-SUMPRODUCT($I$66:I70,$J$66:J70))&amp;" x "&amp;1&amp;" x "&amp;IF('LAMPIRAN I DONE'!$F$21="Tenaga Pengajar",0.5,IF(OR('LAMPIRAN I DONE'!$F$21="Asisten Ahli",'LAMPIRAN I DONE'!$F$21="Lektor",'LAMPIRAN I DONE'!$F$21="Lektor Kepala",'LAMPIRAN I DONE'!$F$21="Guru Besar"),1,""))&amp;" = "&amp;((10-SUMPRODUCT($I$66:I70,$J$66:J70))*IF('LAMPIRAN I DONE'!$F$21="Tenaga Pengajar",0.5,IF(OR('LAMPIRAN I DONE'!$F$21="Asisten Ahli",'LAMPIRAN I DONE'!$F$21="Lektor",'LAMPIRAN I DONE'!$F$21="Lektor Kepala",'LAMPIRAN I DONE'!$F$21="Guru Besar"),1,""))))&amp;"
"&amp;(((I71*J71)-(10-SUMPRODUCT($I$66:I70,$J$66:J70)))&amp;" x "&amp;1&amp;" x "&amp;IF('LAMPIRAN I DONE'!$F$21="Tenaga Pengajar",0.25,IF(OR('LAMPIRAN I DONE'!$F$21="Asisten Ahli",'LAMPIRAN I DONE'!$F$21="Lektor",'LAMPIRAN I DONE'!$F$21="Lektor Kepala",'LAMPIRAN I DONE'!$F$21="Guru Besar"),0.5,""))&amp;" = "&amp;(((I71*J71)-(10-SUMPRODUCT($I$66:I70,$J$66:J70)))*IF('LAMPIRAN I DONE'!$F$21="Tenaga Pengajar",0.25,IF(OR('LAMPIRAN I DONE'!$F$21="Asisten Ahli",'LAMPIRAN I DONE'!$F$21="Lektor",'LAMPIRAN I DONE'!$F$21="Lektor Kepala",'LAMPIRAN I DONE'!$F$21="Guru Besar"),0.5,""))))),(I71&amp;" x "&amp;J71&amp;" x "&amp;(IF(OR(AND(L71="sks&gt;10",L70="sks&gt;10"),AND(L71="sks&gt;10",L70="sks&lt;=10")),IF('LAMPIRAN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Besar"),1,""))))&amp;" = "&amp;K71))),"rumus")</f>
        <v>rumus</v>
      </c>
      <c r="H71" s="28" t="s">
        <v>620</v>
      </c>
      <c r="I71" s="34"/>
      <c r="J71" s="34"/>
      <c r="K71" s="27" t="str">
        <f>IF(AND(I71&lt;&gt;"",J71&lt;&gt;""),(IF(OR(AND(L71="sks&gt;10",L70="sks&lt;=10",IFERROR(SUMPRODUCT($I$66:I70,$J$66:J70)&lt;10,FALSE)),AND(L71="sks&gt;10",L70="")),(((10-SUMPRODUCT($I$66:I70,$J$66:J70))*IF('LAMPIRAN I DONE'!$F$21="Tenaga Pengajar",0.5,IF(OR('LAMPIRAN I DONE'!$F$21="Asisten Ahli",'LAMPIRAN I DONE'!$F$21="Lektor",'LAMPIRAN I DONE'!$F$21="Lektor Kepala",'LAMPIRAN I DONE'!$F$21="Guru Besar"),1,"")))+(((I71*J71)-(10-SUMPRODUCT($I$66:I70,$J$66:J70)))*IF('LAMPIRAN I DONE'!$F$21="Tenaga Pengajar",0.25,IF(OR('LAMPIRAN I DONE'!$F$21="Asisten Ahli",'LAMPIRAN I DONE'!$F$21="Lektor",'LAMPIRAN I DONE'!$F$21="Lektor Kepala",'LAMPIRAN I DONE'!$F$21="Guru Besar"),0.5,"")))),IF(OR(AND(L71="sks&gt;10",L70="sks&gt;10"),AND(L71="sks&gt;10",L70="sks&lt;=10")),I71*J71*IF('LAMPIRAN I DONE'!$F$21="Tenaga Pengajar",0.25,IF(OR('LAMPIRAN I DONE'!$F$21="Asisten Ahli",'LAMPIRAN I DONE'!$F$21="Lektor",'LAMPIRAN I DONE'!$F$21="Lektor Kepala",'LAMPIRAN I DONE'!$F$21="Guru Besar"),0.5,"")),I71*J71*IF('LAMPIRAN I DONE'!$F$21="Tenaga Pengajar",0.5,IF(OR('LAMPIRAN I DONE'!$F$21="Asisten Ahli",'LAMPIRAN I DONE'!$F$21="Lektor",'LAMPIRAN I DONE'!$F$21="Lektor Kepala",'LAMPIRAN I DONE'!$F$21="Guru Besar"),1,""))))),"rumus")</f>
        <v>rumus</v>
      </c>
      <c r="L71" s="27" t="str">
        <f>IF(AND(I71&lt;&gt;"",J71&lt;&gt;""),(IF(SUMPRODUCT($I$67:I71,$J$67:J71)&lt;=10,"SKS&lt;=10",IF(SUMPRODUCT($I$67:I71,$J$67:J71)&gt;10,"SKS&gt;10",""))),"rumus")</f>
        <v>rumus</v>
      </c>
    </row>
    <row r="72" spans="1:14" s="2" customFormat="1" ht="25.5" hidden="1" customHeight="1" x14ac:dyDescent="0.45">
      <c r="A72" s="67">
        <v>6</v>
      </c>
      <c r="B72" s="163" t="s">
        <v>81</v>
      </c>
      <c r="C72" s="28" t="s">
        <v>112</v>
      </c>
      <c r="D72" s="28" t="str">
        <f t="shared" si="11"/>
        <v/>
      </c>
      <c r="E72" s="256" t="str">
        <f>IF(K72&lt;&gt;"rumus",(IF(OR(AND(L72="sks&gt;10",L71="sks&lt;=10",IFERROR(SUMPRODUCT($I$66:I71,$J$66:J71)&lt;10,FALSE)),AND(L72="sks&gt;10",L71="")),(((10-SUMPRODUCT($I$66:I71,$J$66:J71))&amp;" x "&amp;1)&amp;"
"&amp;(((I72*J72)-(10-SUMPRODUCT($I$66:I71,$J$66:J71)))&amp;" x "&amp;1)),(I72&amp;" x "&amp;J72))),"")</f>
        <v/>
      </c>
      <c r="F72" s="256" t="str">
        <f>IF(K72&lt;&gt;"rumus",(IF(OR(AND(L72="sks&gt;10",L71="sks&lt;=10",IFERROR(SUMPRODUCT($I$66:I71,$J$66:J71)&lt;10,FALSE)),AND(L72="sks&gt;10",L71="")),((IF('LAMPIRAN I DONE'!$F$21="Tenaga Pengajar",0.5,IF(OR('LAMPIRAN I DONE'!$F$21="Asisten Ahli",'LAMPIRAN I DONE'!$F$21="Lektor",'LAMPIRAN I DONE'!$F$21="Lektor Kepala",'LAMPIRAN I DONE'!$F$21="Guru Besar"),1,"")))&amp;"
"&amp;(IF('LAMPIRAN I DONE'!$F$21="Tenaga Pengajar",0.25,IF(OR('LAMPIRAN I DONE'!$F$21="Asisten Ahli",'LAMPIRAN I DONE'!$F$21="Lektor",'LAMPIRAN I DONE'!$F$21="Lektor Kepala",'LAMPIRAN I DONE'!$F$21="Guru Besar"),0.5,"")))),((IF(OR(AND(L72="sks&gt;10",L71="sks&gt;10"),AND(L72="sks&gt;10",L71="sks&lt;=10")),IF('LAMPIRAN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f>
        <v/>
      </c>
      <c r="G72" s="105" t="str">
        <f>IF(K72&lt;&gt;"rumus",(IF(OR(AND(L72="sks&gt;10",L71="sks&lt;=10",IFERROR(SUMPRODUCT($I$66:I71,$J$66:J71)&lt;10,FALSE)),AND(L72="sks&gt;10",L71="")),(((10-SUMPRODUCT($I$66:I71,$J$66:J71))&amp;" x "&amp;1&amp;" x "&amp;IF('LAMPIRAN I DONE'!$F$21="Tenaga Pengajar",0.5,IF(OR('LAMPIRAN I DONE'!$F$21="Asisten Ahli",'LAMPIRAN I DONE'!$F$21="Lektor",'LAMPIRAN I DONE'!$F$21="Lektor Kepala",'LAMPIRAN I DONE'!$F$21="Guru Besar"),1,""))&amp;" = "&amp;((10-SUMPRODUCT($I$66:I71,$J$66:J71))*IF('LAMPIRAN I DONE'!$F$21="Tenaga Pengajar",0.5,IF(OR('LAMPIRAN I DONE'!$F$21="Asisten Ahli",'LAMPIRAN I DONE'!$F$21="Lektor",'LAMPIRAN I DONE'!$F$21="Lektor Kepala",'LAMPIRAN I DONE'!$F$21="Guru Besar"),1,""))))&amp;"
"&amp;(((I72*J72)-(10-SUMPRODUCT($I$66:I71,$J$66:J71)))&amp;" x "&amp;1&amp;" x "&amp;IF('LAMPIRAN I DONE'!$F$21="Tenaga Pengajar",0.25,IF(OR('LAMPIRAN I DONE'!$F$21="Asisten Ahli",'LAMPIRAN I DONE'!$F$21="Lektor",'LAMPIRAN I DONE'!$F$21="Lektor Kepala",'LAMPIRAN I DONE'!$F$21="Guru Besar"),0.5,""))&amp;" = "&amp;(((I72*J72)-(10-SUMPRODUCT($I$66:I71,$J$66:J71)))*IF('LAMPIRAN I DONE'!$F$21="Tenaga Pengajar",0.25,IF(OR('LAMPIRAN I DONE'!$F$21="Asisten Ahli",'LAMPIRAN I DONE'!$F$21="Lektor",'LAMPIRAN I DONE'!$F$21="Lektor Kepala",'LAMPIRAN I DONE'!$F$21="Guru Besar"),0.5,""))))),(I72&amp;" x "&amp;J72&amp;" x "&amp;(IF(OR(AND(L72="sks&gt;10",L71="sks&gt;10"),AND(L72="sks&gt;10",L71="sks&lt;=10")),IF('LAMPIRAN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Besar"),1,""))))&amp;" = "&amp;K72))),"rumus")</f>
        <v>rumus</v>
      </c>
      <c r="H72" s="28" t="s">
        <v>620</v>
      </c>
      <c r="I72" s="34"/>
      <c r="J72" s="34"/>
      <c r="K72" s="27" t="str">
        <f>IF(AND(I72&lt;&gt;"",J72&lt;&gt;""),(IF(OR(AND(L72="sks&gt;10",L71="sks&lt;=10",IFERROR(SUMPRODUCT($I$66:I71,$J$66:J71)&lt;10,FALSE)),AND(L72="sks&gt;10",L71="")),(((10-SUMPRODUCT($I$66:I71,$J$66:J71))*IF('LAMPIRAN I DONE'!$F$21="Tenaga Pengajar",0.5,IF(OR('LAMPIRAN I DONE'!$F$21="Asisten Ahli",'LAMPIRAN I DONE'!$F$21="Lektor",'LAMPIRAN I DONE'!$F$21="Lektor Kepala",'LAMPIRAN I DONE'!$F$21="Guru Besar"),1,"")))+(((I72*J72)-(10-SUMPRODUCT($I$66:I71,$J$66:J71)))*IF('LAMPIRAN I DONE'!$F$21="Tenaga Pengajar",0.25,IF(OR('LAMPIRAN I DONE'!$F$21="Asisten Ahli",'LAMPIRAN I DONE'!$F$21="Lektor",'LAMPIRAN I DONE'!$F$21="Lektor Kepala",'LAMPIRAN I DONE'!$F$21="Guru Besar"),0.5,"")))),IF(OR(AND(L72="sks&gt;10",L71="sks&gt;10"),AND(L72="sks&gt;10",L71="sks&lt;=10")),I72*J72*IF('LAMPIRAN I DONE'!$F$21="Tenaga Pengajar",0.25,IF(OR('LAMPIRAN I DONE'!$F$21="Asisten Ahli",'LAMPIRAN I DONE'!$F$21="Lektor",'LAMPIRAN I DONE'!$F$21="Lektor Kepala",'LAMPIRAN I DONE'!$F$21="Guru Besar"),0.5,"")),I72*J72*IF('LAMPIRAN I DONE'!$F$21="Tenaga Pengajar",0.5,IF(OR('LAMPIRAN I DONE'!$F$21="Asisten Ahli",'LAMPIRAN I DONE'!$F$21="Lektor",'LAMPIRAN I DONE'!$F$21="Lektor Kepala",'LAMPIRAN I DONE'!$F$21="Guru Besar"),1,""))))),"rumus")</f>
        <v>rumus</v>
      </c>
      <c r="L72" s="27" t="str">
        <f>IF(AND(I72&lt;&gt;"",J72&lt;&gt;""),(IF(SUMPRODUCT($I$67:I72,$J$67:J72)&lt;=10,"SKS&lt;=10",IF(SUMPRODUCT($I$67:I72,$J$67:J72)&gt;10,"SKS&gt;10",""))),"rumus")</f>
        <v>rumus</v>
      </c>
    </row>
    <row r="73" spans="1:14" s="2" customFormat="1" ht="15" hidden="1" customHeight="1" x14ac:dyDescent="0.45">
      <c r="A73" s="67"/>
      <c r="B73" s="168" t="str">
        <f>"a. Semester Gasal "&amp;IF(C74&lt;&gt;"",C74,"")&amp;" :"</f>
        <v>a. Semester Gasal 2012/2013 :</v>
      </c>
      <c r="C73" s="30"/>
      <c r="D73" s="30"/>
      <c r="E73" s="30"/>
      <c r="F73" s="30"/>
      <c r="G73" s="30"/>
      <c r="H73" s="54"/>
      <c r="I73" s="496"/>
      <c r="J73" s="496"/>
      <c r="M73" s="104">
        <f>IF((AND(N73="Max 5,5",SUM(K67:K72)&lt;=5.5)),SUM(K67:K72),IF((AND(N73="Max 5,5",SUM(K67:K72)&gt;5.5)),5.5,IF((AND(N73="Max 11",SUM(K67:K72)&lt;=11)),SUM(K67:K72),IF((AND(N73="Max 11",SUM(K67:K72)&gt;11)),11,""))))</f>
        <v>0</v>
      </c>
      <c r="N73" s="33" t="str">
        <f>IF('LAMPIRAN I DONE'!$F$21="Tenaga Pengajar","Max 5,5",IF(OR('LAMPIRAN I DONE'!$F$21="Asisten Ahli",'LAMPIRAN I DONE'!$F$21="Lektor",'LAMPIRAN I DONE'!$F$21="Lektor Kepala",'LAMPIRAN I DONE'!$F$21="Guru Besar"),"Max 11",""))</f>
        <v>Max 11</v>
      </c>
    </row>
    <row r="74" spans="1:14" s="2" customFormat="1" ht="25.5" hidden="1" customHeight="1" x14ac:dyDescent="0.45">
      <c r="A74" s="67">
        <v>1</v>
      </c>
      <c r="B74" s="163" t="s">
        <v>81</v>
      </c>
      <c r="C74" s="28" t="s">
        <v>113</v>
      </c>
      <c r="D74" s="28" t="str">
        <f>IF(G74&lt;&gt;"rumus","SKS","")</f>
        <v/>
      </c>
      <c r="E74" s="256" t="str">
        <f>IF(K74&lt;&gt;"rumus",(IF(OR(AND(L74="sks&gt;10",L73="sks&lt;=10",IFERROR(SUMPRODUCT($I$73:I73,$J$73:J73)&lt;10,FALSE)),AND(L74="sks&gt;10",L73="")),(((10-SUMPRODUCT($I$73:I73,$J$73:J73))&amp;" x "&amp;1)&amp;"
"&amp;(((I74*J74)-(10-SUMPRODUCT($I$73:I73,$J$73:J73)))&amp;" x "&amp;1)),(I74&amp;" x "&amp;J74))),"")</f>
        <v/>
      </c>
      <c r="F74" s="256" t="str">
        <f>IF(K74&lt;&gt;"rumus",(IF(OR(AND(L74="sks&gt;10",L73="sks&lt;=10",IFERROR(SUMPRODUCT($I$73:I73,$J$73:J73)&lt;10,FALSE)),AND(L74="sks&gt;10",L73="")),((IF('LAMPIRAN I DONE'!$F$21="Tenaga Pengajar",0.5,IF(OR('LAMPIRAN I DONE'!$F$21="Asisten Ahli",'LAMPIRAN I DONE'!$F$21="Lektor",'LAMPIRAN I DONE'!$F$21="Lektor Kepala",'LAMPIRAN I DONE'!$F$21="Guru Besar"),1,"")))&amp;"
"&amp;(IF('LAMPIRAN I DONE'!$F$21="Tenaga Pengajar",0.25,IF(OR('LAMPIRAN I DONE'!$F$21="Asisten Ahli",'LAMPIRAN I DONE'!$F$21="Lektor",'LAMPIRAN I DONE'!$F$21="Lektor Kepala",'LAMPIRAN I DONE'!$F$21="Guru Besar"),0.5,"")))),((IF(OR(AND(L74="sks&gt;10",L73="sks&gt;10"),AND(L74="sks&gt;10",L73="sks&lt;=10")),IF('LAMPIRAN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f>
        <v/>
      </c>
      <c r="G74" s="105" t="str">
        <f>IF(K74&lt;&gt;"rumus",(IF(OR(AND(L74="sks&gt;10",L73="sks&lt;=10",IFERROR(SUMPRODUCT($I$73:I73,$J$73:J73)&lt;10,FALSE)),AND(L74="sks&gt;10",L73="")),(((10-SUMPRODUCT($I$73:I73,$J$73:J73))&amp;" x "&amp;1&amp;" x "&amp;IF('LAMPIRAN I DONE'!$F$21="Tenaga Pengajar",0.5,IF(OR('LAMPIRAN I DONE'!$F$21="Asisten Ahli",'LAMPIRAN I DONE'!$F$21="Lektor",'LAMPIRAN I DONE'!$F$21="Lektor Kepala",'LAMPIRAN I DONE'!$F$21="Guru Besar"),1,""))&amp;" = "&amp;((10-SUMPRODUCT($I$73:I73,$J$73:J73))*IF('LAMPIRAN I DONE'!$F$21="Tenaga Pengajar",0.5,IF(OR('LAMPIRAN I DONE'!$F$21="Asisten Ahli",'LAMPIRAN I DONE'!$F$21="Lektor",'LAMPIRAN I DONE'!$F$21="Lektor Kepala",'LAMPIRAN I DONE'!$F$21="Guru Besar"),1,""))))&amp;"
"&amp;(((I74*J74)-(10-SUMPRODUCT($I$73:I73,$J$73:J73)))&amp;" x "&amp;1&amp;" x "&amp;IF('LAMPIRAN I DONE'!$F$21="Tenaga Pengajar",0.25,IF(OR('LAMPIRAN I DONE'!$F$21="Asisten Ahli",'LAMPIRAN I DONE'!$F$21="Lektor",'LAMPIRAN I DONE'!$F$21="Lektor Kepala",'LAMPIRAN I DONE'!$F$21="Guru Besar"),0.5,""))&amp;" = "&amp;(((I74*J74)-(10-SUMPRODUCT($I$73:I73,$J$73:J73)))*IF('LAMPIRAN I DONE'!$F$21="Tenaga Pengajar",0.25,IF(OR('LAMPIRAN I DONE'!$F$21="Asisten Ahli",'LAMPIRAN I DONE'!$F$21="Lektor",'LAMPIRAN I DONE'!$F$21="Lektor Kepala",'LAMPIRAN I DONE'!$F$21="Guru Besar"),0.5,""))))),(I74&amp;" x "&amp;J74&amp;" x "&amp;(IF(OR(AND(L74="sks&gt;10",L73="sks&gt;10"),AND(L74="sks&gt;10",L73="sks&lt;=10")),IF('LAMPIRAN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Besar"),1,""))))&amp;" = "&amp;K74))),"rumus")</f>
        <v>rumus</v>
      </c>
      <c r="H74" s="28" t="s">
        <v>620</v>
      </c>
      <c r="I74" s="34"/>
      <c r="J74" s="34"/>
      <c r="K74" s="27" t="str">
        <f>IF(AND(I74&lt;&gt;"",J74&lt;&gt;""),(IF(OR(AND(L74="sks&gt;10",L73="sks&lt;=10",IFERROR(SUMPRODUCT($I$73:I73,$J$73:J73)&lt;10,FALSE)),AND(L74="sks&gt;10",L73="")),(((10-SUMPRODUCT($I$73:I73,$J$73:J73))*IF('LAMPIRAN I DONE'!$F$21="Tenaga Pengajar",0.5,IF(OR('LAMPIRAN I DONE'!$F$21="Asisten Ahli",'LAMPIRAN I DONE'!$F$21="Lektor",'LAMPIRAN I DONE'!$F$21="Lektor Kepala",'LAMPIRAN I DONE'!$F$21="Guru Besar"),1,"")))+(((I74*J74)-(10-SUMPRODUCT($I$73:I73,$J$73:J73)))*IF('LAMPIRAN I DONE'!$F$21="Tenaga Pengajar",0.25,IF(OR('LAMPIRAN I DONE'!$F$21="Asisten Ahli",'LAMPIRAN I DONE'!$F$21="Lektor",'LAMPIRAN I DONE'!$F$21="Lektor Kepala",'LAMPIRAN I DONE'!$F$21="Guru Besar"),0.5,"")))),IF(OR(AND(L74="sks&gt;10",L73="sks&gt;10"),AND(L74="sks&gt;10",L73="sks&lt;=10")),I74*J74*IF('LAMPIRAN I DONE'!$F$21="Tenaga Pengajar",0.25,IF(OR('LAMPIRAN I DONE'!$F$21="Asisten Ahli",'LAMPIRAN I DONE'!$F$21="Lektor",'LAMPIRAN I DONE'!$F$21="Lektor Kepala",'LAMPIRAN I DONE'!$F$21="Guru Besar"),0.5,"")),I74*J74*IF('LAMPIRAN I DONE'!$F$21="Tenaga Pengajar",0.5,IF(OR('LAMPIRAN I DONE'!$F$21="Asisten Ahli",'LAMPIRAN I DONE'!$F$21="Lektor",'LAMPIRAN I DONE'!$F$21="Lektor Kepala",'LAMPIRAN I DONE'!$F$21="Guru Besar"),1,""))))),"rumus")</f>
        <v>rumus</v>
      </c>
      <c r="L74" s="27" t="str">
        <f>IF(AND(I74&lt;&gt;"",J74&lt;&gt;""),(IF(SUMPRODUCT($I$74:I74,$J$74:J74)&lt;=10,"SKS&lt;=10",IF(SUMPRODUCT($I$74:I74,$J$74:J74)&gt;10,"SKS&gt;10",""))),"rumus")</f>
        <v>rumus</v>
      </c>
    </row>
    <row r="75" spans="1:14" s="2" customFormat="1" ht="25.5" hidden="1" customHeight="1" x14ac:dyDescent="0.45">
      <c r="A75" s="67">
        <v>2</v>
      </c>
      <c r="B75" s="163" t="s">
        <v>81</v>
      </c>
      <c r="C75" s="28" t="s">
        <v>113</v>
      </c>
      <c r="D75" s="28" t="str">
        <f t="shared" ref="D75:D79" si="12">IF(G75&lt;&gt;"rumus","SKS","")</f>
        <v/>
      </c>
      <c r="E75" s="256" t="str">
        <f>IF(K75&lt;&gt;"rumus",(IF(OR(AND(L75="sks&gt;10",L74="sks&lt;=10",IFERROR(SUMPRODUCT($I$73:I74,$J$73:J74)&lt;10,FALSE)),AND(L75="sks&gt;10",L74="")),(((10-SUMPRODUCT($I$73:I74,$J$73:J74))&amp;" x "&amp;1)&amp;"
"&amp;(((I75*J75)-(10-SUMPRODUCT($I$73:I74,$J$73:J74)))&amp;" x "&amp;1)),(I75&amp;" x "&amp;J75))),"")</f>
        <v/>
      </c>
      <c r="F75" s="256" t="str">
        <f>IF(K75&lt;&gt;"rumus",(IF(OR(AND(L75="sks&gt;10",L74="sks&lt;=10",IFERROR(SUMPRODUCT($I$73:I74,$J$73:J74)&lt;10,FALSE)),AND(L75="sks&gt;10",L74="")),((IF('LAMPIRAN I DONE'!$F$21="Tenaga Pengajar",0.5,IF(OR('LAMPIRAN I DONE'!$F$21="Asisten Ahli",'LAMPIRAN I DONE'!$F$21="Lektor",'LAMPIRAN I DONE'!$F$21="Lektor Kepala",'LAMPIRAN I DONE'!$F$21="Guru Besar"),1,"")))&amp;"
"&amp;(IF('LAMPIRAN I DONE'!$F$21="Tenaga Pengajar",0.25,IF(OR('LAMPIRAN I DONE'!$F$21="Asisten Ahli",'LAMPIRAN I DONE'!$F$21="Lektor",'LAMPIRAN I DONE'!$F$21="Lektor Kepala",'LAMPIRAN I DONE'!$F$21="Guru Besar"),0.5,"")))),((IF(OR(AND(L75="sks&gt;10",L74="sks&gt;10"),AND(L75="sks&gt;10",L74="sks&lt;=10")),IF('LAMPIRAN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f>
        <v/>
      </c>
      <c r="G75" s="105" t="str">
        <f>IF(K75&lt;&gt;"rumus",(IF(OR(AND(L75="sks&gt;10",L74="sks&lt;=10",IFERROR(SUMPRODUCT($I$73:I74,$J$73:J74)&lt;10,FALSE)),AND(L75="sks&gt;10",L74="")),(((10-SUMPRODUCT($I$73:I74,$J$73:J74))&amp;" x "&amp;1&amp;" x "&amp;IF('LAMPIRAN I DONE'!$F$21="Tenaga Pengajar",0.5,IF(OR('LAMPIRAN I DONE'!$F$21="Asisten Ahli",'LAMPIRAN I DONE'!$F$21="Lektor",'LAMPIRAN I DONE'!$F$21="Lektor Kepala",'LAMPIRAN I DONE'!$F$21="Guru Besar"),1,""))&amp;" = "&amp;((10-SUMPRODUCT($I$73:I74,$J$73:J74))*IF('LAMPIRAN I DONE'!$F$21="Tenaga Pengajar",0.5,IF(OR('LAMPIRAN I DONE'!$F$21="Asisten Ahli",'LAMPIRAN I DONE'!$F$21="Lektor",'LAMPIRAN I DONE'!$F$21="Lektor Kepala",'LAMPIRAN I DONE'!$F$21="Guru Besar"),1,""))))&amp;"
"&amp;(((I75*J75)-(10-SUMPRODUCT($I$73:I74,$J$73:J74)))&amp;" x "&amp;1&amp;" x "&amp;IF('LAMPIRAN I DONE'!$F$21="Tenaga Pengajar",0.25,IF(OR('LAMPIRAN I DONE'!$F$21="Asisten Ahli",'LAMPIRAN I DONE'!$F$21="Lektor",'LAMPIRAN I DONE'!$F$21="Lektor Kepala",'LAMPIRAN I DONE'!$F$21="Guru Besar"),0.5,""))&amp;" = "&amp;(((I75*J75)-(10-SUMPRODUCT($I$73:I74,$J$73:J74)))*IF('LAMPIRAN I DONE'!$F$21="Tenaga Pengajar",0.25,IF(OR('LAMPIRAN I DONE'!$F$21="Asisten Ahli",'LAMPIRAN I DONE'!$F$21="Lektor",'LAMPIRAN I DONE'!$F$21="Lektor Kepala",'LAMPIRAN I DONE'!$F$21="Guru Besar"),0.5,""))))),(I75&amp;" x "&amp;J75&amp;" x "&amp;(IF(OR(AND(L75="sks&gt;10",L74="sks&gt;10"),AND(L75="sks&gt;10",L74="sks&lt;=10")),IF('LAMPIRAN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Besar"),1,""))))&amp;" = "&amp;K75))),"rumus")</f>
        <v>rumus</v>
      </c>
      <c r="H75" s="28" t="s">
        <v>620</v>
      </c>
      <c r="I75" s="34"/>
      <c r="J75" s="34"/>
      <c r="K75" s="27" t="str">
        <f>IF(AND(I75&lt;&gt;"",J75&lt;&gt;""),(IF(OR(AND(L75="sks&gt;10",L74="sks&lt;=10",IFERROR(SUMPRODUCT($I$73:I74,$J$73:J74)&lt;10,FALSE)),AND(L75="sks&gt;10",L74="")),(((10-SUMPRODUCT($I$73:I74,$J$73:J74))*IF('LAMPIRAN I DONE'!$F$21="Tenaga Pengajar",0.5,IF(OR('LAMPIRAN I DONE'!$F$21="Asisten Ahli",'LAMPIRAN I DONE'!$F$21="Lektor",'LAMPIRAN I DONE'!$F$21="Lektor Kepala",'LAMPIRAN I DONE'!$F$21="Guru Besar"),1,"")))+(((I75*J75)-(10-SUMPRODUCT($I$73:I74,$J$73:J74)))*IF('LAMPIRAN I DONE'!$F$21="Tenaga Pengajar",0.25,IF(OR('LAMPIRAN I DONE'!$F$21="Asisten Ahli",'LAMPIRAN I DONE'!$F$21="Lektor",'LAMPIRAN I DONE'!$F$21="Lektor Kepala",'LAMPIRAN I DONE'!$F$21="Guru Besar"),0.5,"")))),IF(OR(AND(L75="sks&gt;10",L74="sks&gt;10"),AND(L75="sks&gt;10",L74="sks&lt;=10")),I75*J75*IF('LAMPIRAN I DONE'!$F$21="Tenaga Pengajar",0.25,IF(OR('LAMPIRAN I DONE'!$F$21="Asisten Ahli",'LAMPIRAN I DONE'!$F$21="Lektor",'LAMPIRAN I DONE'!$F$21="Lektor Kepala",'LAMPIRAN I DONE'!$F$21="Guru Besar"),0.5,"")),I75*J75*IF('LAMPIRAN I DONE'!$F$21="Tenaga Pengajar",0.5,IF(OR('LAMPIRAN I DONE'!$F$21="Asisten Ahli",'LAMPIRAN I DONE'!$F$21="Lektor",'LAMPIRAN I DONE'!$F$21="Lektor Kepala",'LAMPIRAN I DONE'!$F$21="Guru Besar"),1,""))))),"rumus")</f>
        <v>rumus</v>
      </c>
      <c r="L75" s="27" t="str">
        <f>IF(AND(I75&lt;&gt;"",J75&lt;&gt;""),(IF(SUMPRODUCT($I$74:I75,$J$74:J75)&lt;=10,"SKS&lt;=10",IF(SUMPRODUCT($I$74:I75,$J$74:J75)&gt;10,"SKS&gt;10",""))),"rumus")</f>
        <v>rumus</v>
      </c>
    </row>
    <row r="76" spans="1:14" s="2" customFormat="1" ht="25.5" hidden="1" customHeight="1" x14ac:dyDescent="0.45">
      <c r="A76" s="67">
        <v>3</v>
      </c>
      <c r="B76" s="163" t="s">
        <v>81</v>
      </c>
      <c r="C76" s="28" t="s">
        <v>113</v>
      </c>
      <c r="D76" s="28" t="str">
        <f t="shared" si="12"/>
        <v/>
      </c>
      <c r="E76" s="256" t="str">
        <f>IF(K76&lt;&gt;"rumus",(IF(OR(AND(L76="sks&gt;10",L75="sks&lt;=10",IFERROR(SUMPRODUCT($I$73:I75,$J$73:J75)&lt;10,FALSE)),AND(L76="sks&gt;10",L75="")),(((10-SUMPRODUCT($I$73:I75,$J$73:J75))&amp;" x "&amp;1)&amp;"
"&amp;(((I76*J76)-(10-SUMPRODUCT($I$73:I75,$J$73:J75)))&amp;" x "&amp;1)),(I76&amp;" x "&amp;J76))),"")</f>
        <v/>
      </c>
      <c r="F76" s="256" t="str">
        <f>IF(K76&lt;&gt;"rumus",(IF(OR(AND(L76="sks&gt;10",L75="sks&lt;=10",IFERROR(SUMPRODUCT($I$73:I75,$J$73:J75)&lt;10,FALSE)),AND(L76="sks&gt;10",L75="")),((IF('LAMPIRAN I DONE'!$F$21="Tenaga Pengajar",0.5,IF(OR('LAMPIRAN I DONE'!$F$21="Asisten Ahli",'LAMPIRAN I DONE'!$F$21="Lektor",'LAMPIRAN I DONE'!$F$21="Lektor Kepala",'LAMPIRAN I DONE'!$F$21="Guru Besar"),1,"")))&amp;"
"&amp;(IF('LAMPIRAN I DONE'!$F$21="Tenaga Pengajar",0.25,IF(OR('LAMPIRAN I DONE'!$F$21="Asisten Ahli",'LAMPIRAN I DONE'!$F$21="Lektor",'LAMPIRAN I DONE'!$F$21="Lektor Kepala",'LAMPIRAN I DONE'!$F$21="Guru Besar"),0.5,"")))),((IF(OR(AND(L76="sks&gt;10",L75="sks&gt;10"),AND(L76="sks&gt;10",L75="sks&lt;=10")),IF('LAMPIRAN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f>
        <v/>
      </c>
      <c r="G76" s="105" t="str">
        <f>IF(K76&lt;&gt;"rumus",(IF(OR(AND(L76="sks&gt;10",L75="sks&lt;=10",IFERROR(SUMPRODUCT($I$73:I75,$J$73:J75)&lt;10,FALSE)),AND(L76="sks&gt;10",L75="")),(((10-SUMPRODUCT($I$73:I75,$J$73:J75))&amp;" x "&amp;1&amp;" x "&amp;IF('LAMPIRAN I DONE'!$F$21="Tenaga Pengajar",0.5,IF(OR('LAMPIRAN I DONE'!$F$21="Asisten Ahli",'LAMPIRAN I DONE'!$F$21="Lektor",'LAMPIRAN I DONE'!$F$21="Lektor Kepala",'LAMPIRAN I DONE'!$F$21="Guru Besar"),1,""))&amp;" = "&amp;((10-SUMPRODUCT($I$73:I75,$J$73:J75))*IF('LAMPIRAN I DONE'!$F$21="Tenaga Pengajar",0.5,IF(OR('LAMPIRAN I DONE'!$F$21="Asisten Ahli",'LAMPIRAN I DONE'!$F$21="Lektor",'LAMPIRAN I DONE'!$F$21="Lektor Kepala",'LAMPIRAN I DONE'!$F$21="Guru Besar"),1,""))))&amp;"
"&amp;(((I76*J76)-(10-SUMPRODUCT($I$73:I75,$J$73:J75)))&amp;" x "&amp;1&amp;" x "&amp;IF('LAMPIRAN I DONE'!$F$21="Tenaga Pengajar",0.25,IF(OR('LAMPIRAN I DONE'!$F$21="Asisten Ahli",'LAMPIRAN I DONE'!$F$21="Lektor",'LAMPIRAN I DONE'!$F$21="Lektor Kepala",'LAMPIRAN I DONE'!$F$21="Guru Besar"),0.5,""))&amp;" = "&amp;(((I76*J76)-(10-SUMPRODUCT($I$73:I75,$J$73:J75)))*IF('LAMPIRAN I DONE'!$F$21="Tenaga Pengajar",0.25,IF(OR('LAMPIRAN I DONE'!$F$21="Asisten Ahli",'LAMPIRAN I DONE'!$F$21="Lektor",'LAMPIRAN I DONE'!$F$21="Lektor Kepala",'LAMPIRAN I DONE'!$F$21="Guru Besar"),0.5,""))))),(I76&amp;" x "&amp;J76&amp;" x "&amp;(IF(OR(AND(L76="sks&gt;10",L75="sks&gt;10"),AND(L76="sks&gt;10",L75="sks&lt;=10")),IF('LAMPIRAN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Besar"),1,""))))&amp;" = "&amp;K76))),"rumus")</f>
        <v>rumus</v>
      </c>
      <c r="H76" s="28" t="s">
        <v>620</v>
      </c>
      <c r="I76" s="34"/>
      <c r="J76" s="34"/>
      <c r="K76" s="27" t="str">
        <f>IF(AND(I76&lt;&gt;"",J76&lt;&gt;""),(IF(OR(AND(L76="sks&gt;10",L75="sks&lt;=10",IFERROR(SUMPRODUCT($I$73:I75,$J$73:J75)&lt;10,FALSE)),AND(L76="sks&gt;10",L75="")),(((10-SUMPRODUCT($I$73:I75,$J$73:J75))*IF('LAMPIRAN I DONE'!$F$21="Tenaga Pengajar",0.5,IF(OR('LAMPIRAN I DONE'!$F$21="Asisten Ahli",'LAMPIRAN I DONE'!$F$21="Lektor",'LAMPIRAN I DONE'!$F$21="Lektor Kepala",'LAMPIRAN I DONE'!$F$21="Guru Besar"),1,"")))+(((I76*J76)-(10-SUMPRODUCT($I$73:I75,$J$73:J75)))*IF('LAMPIRAN I DONE'!$F$21="Tenaga Pengajar",0.25,IF(OR('LAMPIRAN I DONE'!$F$21="Asisten Ahli",'LAMPIRAN I DONE'!$F$21="Lektor",'LAMPIRAN I DONE'!$F$21="Lektor Kepala",'LAMPIRAN I DONE'!$F$21="Guru Besar"),0.5,"")))),IF(OR(AND(L76="sks&gt;10",L75="sks&gt;10"),AND(L76="sks&gt;10",L75="sks&lt;=10")),I76*J76*IF('LAMPIRAN I DONE'!$F$21="Tenaga Pengajar",0.25,IF(OR('LAMPIRAN I DONE'!$F$21="Asisten Ahli",'LAMPIRAN I DONE'!$F$21="Lektor",'LAMPIRAN I DONE'!$F$21="Lektor Kepala",'LAMPIRAN I DONE'!$F$21="Guru Besar"),0.5,"")),I76*J76*IF('LAMPIRAN I DONE'!$F$21="Tenaga Pengajar",0.5,IF(OR('LAMPIRAN I DONE'!$F$21="Asisten Ahli",'LAMPIRAN I DONE'!$F$21="Lektor",'LAMPIRAN I DONE'!$F$21="Lektor Kepala",'LAMPIRAN I DONE'!$F$21="Guru Besar"),1,""))))),"rumus")</f>
        <v>rumus</v>
      </c>
      <c r="L76" s="27" t="str">
        <f>IF(AND(I76&lt;&gt;"",J76&lt;&gt;""),(IF(SUMPRODUCT($I$74:I76,$J$74:J76)&lt;=10,"SKS&lt;=10",IF(SUMPRODUCT($I$74:I76,$J$74:J76)&gt;10,"SKS&gt;10",""))),"rumus")</f>
        <v>rumus</v>
      </c>
    </row>
    <row r="77" spans="1:14" s="2" customFormat="1" ht="25.5" hidden="1" customHeight="1" x14ac:dyDescent="0.45">
      <c r="A77" s="67">
        <v>4</v>
      </c>
      <c r="B77" s="163" t="s">
        <v>81</v>
      </c>
      <c r="C77" s="28" t="s">
        <v>113</v>
      </c>
      <c r="D77" s="28" t="str">
        <f t="shared" si="12"/>
        <v/>
      </c>
      <c r="E77" s="256" t="str">
        <f>IF(K77&lt;&gt;"rumus",(IF(OR(AND(L77="sks&gt;10",L76="sks&lt;=10",IFERROR(SUMPRODUCT($I$73:I76,$J$73:J76)&lt;10,FALSE)),AND(L77="sks&gt;10",L76="")),(((10-SUMPRODUCT($I$73:I76,$J$73:J76))&amp;" x "&amp;1)&amp;"
"&amp;(((I77*J77)-(10-SUMPRODUCT($I$73:I76,$J$73:J76)))&amp;" x "&amp;1)),(I77&amp;" x "&amp;J77))),"")</f>
        <v/>
      </c>
      <c r="F77" s="256" t="str">
        <f>IF(K77&lt;&gt;"rumus",(IF(OR(AND(L77="sks&gt;10",L76="sks&lt;=10",IFERROR(SUMPRODUCT($I$73:I76,$J$73:J76)&lt;10,FALSE)),AND(L77="sks&gt;10",L76="")),((IF('LAMPIRAN I DONE'!$F$21="Tenaga Pengajar",0.5,IF(OR('LAMPIRAN I DONE'!$F$21="Asisten Ahli",'LAMPIRAN I DONE'!$F$21="Lektor",'LAMPIRAN I DONE'!$F$21="Lektor Kepala",'LAMPIRAN I DONE'!$F$21="Guru Besar"),1,"")))&amp;"
"&amp;(IF('LAMPIRAN I DONE'!$F$21="Tenaga Pengajar",0.25,IF(OR('LAMPIRAN I DONE'!$F$21="Asisten Ahli",'LAMPIRAN I DONE'!$F$21="Lektor",'LAMPIRAN I DONE'!$F$21="Lektor Kepala",'LAMPIRAN I DONE'!$F$21="Guru Besar"),0.5,"")))),((IF(OR(AND(L77="sks&gt;10",L76="sks&gt;10"),AND(L77="sks&gt;10",L76="sks&lt;=10")),IF('LAMPIRAN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f>
        <v/>
      </c>
      <c r="G77" s="105" t="str">
        <f>IF(K77&lt;&gt;"rumus",(IF(OR(AND(L77="sks&gt;10",L76="sks&lt;=10",IFERROR(SUMPRODUCT($I$73:I76,$J$73:J76)&lt;10,FALSE)),AND(L77="sks&gt;10",L76="")),(((10-SUMPRODUCT($I$73:I76,$J$73:J76))&amp;" x "&amp;1&amp;" x "&amp;IF('LAMPIRAN I DONE'!$F$21="Tenaga Pengajar",0.5,IF(OR('LAMPIRAN I DONE'!$F$21="Asisten Ahli",'LAMPIRAN I DONE'!$F$21="Lektor",'LAMPIRAN I DONE'!$F$21="Lektor Kepala",'LAMPIRAN I DONE'!$F$21="Guru Besar"),1,""))&amp;" = "&amp;((10-SUMPRODUCT($I$73:I76,$J$73:J76))*IF('LAMPIRAN I DONE'!$F$21="Tenaga Pengajar",0.5,IF(OR('LAMPIRAN I DONE'!$F$21="Asisten Ahli",'LAMPIRAN I DONE'!$F$21="Lektor",'LAMPIRAN I DONE'!$F$21="Lektor Kepala",'LAMPIRAN I DONE'!$F$21="Guru Besar"),1,""))))&amp;"
"&amp;(((I77*J77)-(10-SUMPRODUCT($I$73:I76,$J$73:J76)))&amp;" x "&amp;1&amp;" x "&amp;IF('LAMPIRAN I DONE'!$F$21="Tenaga Pengajar",0.25,IF(OR('LAMPIRAN I DONE'!$F$21="Asisten Ahli",'LAMPIRAN I DONE'!$F$21="Lektor",'LAMPIRAN I DONE'!$F$21="Lektor Kepala",'LAMPIRAN I DONE'!$F$21="Guru Besar"),0.5,""))&amp;" = "&amp;(((I77*J77)-(10-SUMPRODUCT($I$73:I76,$J$73:J76)))*IF('LAMPIRAN I DONE'!$F$21="Tenaga Pengajar",0.25,IF(OR('LAMPIRAN I DONE'!$F$21="Asisten Ahli",'LAMPIRAN I DONE'!$F$21="Lektor",'LAMPIRAN I DONE'!$F$21="Lektor Kepala",'LAMPIRAN I DONE'!$F$21="Guru Besar"),0.5,""))))),(I77&amp;" x "&amp;J77&amp;" x "&amp;(IF(OR(AND(L77="sks&gt;10",L76="sks&gt;10"),AND(L77="sks&gt;10",L76="sks&lt;=10")),IF('LAMPIRAN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Besar"),1,""))))&amp;" = "&amp;K77))),"rumus")</f>
        <v>rumus</v>
      </c>
      <c r="H77" s="28" t="s">
        <v>620</v>
      </c>
      <c r="I77" s="34"/>
      <c r="J77" s="34"/>
      <c r="K77" s="27" t="str">
        <f>IF(AND(I77&lt;&gt;"",J77&lt;&gt;""),(IF(OR(AND(L77="sks&gt;10",L76="sks&lt;=10",IFERROR(SUMPRODUCT($I$73:I76,$J$73:J76)&lt;10,FALSE)),AND(L77="sks&gt;10",L76="")),(((10-SUMPRODUCT($I$73:I76,$J$73:J76))*IF('LAMPIRAN I DONE'!$F$21="Tenaga Pengajar",0.5,IF(OR('LAMPIRAN I DONE'!$F$21="Asisten Ahli",'LAMPIRAN I DONE'!$F$21="Lektor",'LAMPIRAN I DONE'!$F$21="Lektor Kepala",'LAMPIRAN I DONE'!$F$21="Guru Besar"),1,"")))+(((I77*J77)-(10-SUMPRODUCT($I$73:I76,$J$73:J76)))*IF('LAMPIRAN I DONE'!$F$21="Tenaga Pengajar",0.25,IF(OR('LAMPIRAN I DONE'!$F$21="Asisten Ahli",'LAMPIRAN I DONE'!$F$21="Lektor",'LAMPIRAN I DONE'!$F$21="Lektor Kepala",'LAMPIRAN I DONE'!$F$21="Guru Besar"),0.5,"")))),IF(OR(AND(L77="sks&gt;10",L76="sks&gt;10"),AND(L77="sks&gt;10",L76="sks&lt;=10")),I77*J77*IF('LAMPIRAN I DONE'!$F$21="Tenaga Pengajar",0.25,IF(OR('LAMPIRAN I DONE'!$F$21="Asisten Ahli",'LAMPIRAN I DONE'!$F$21="Lektor",'LAMPIRAN I DONE'!$F$21="Lektor Kepala",'LAMPIRAN I DONE'!$F$21="Guru Besar"),0.5,"")),I77*J77*IF('LAMPIRAN I DONE'!$F$21="Tenaga Pengajar",0.5,IF(OR('LAMPIRAN I DONE'!$F$21="Asisten Ahli",'LAMPIRAN I DONE'!$F$21="Lektor",'LAMPIRAN I DONE'!$F$21="Lektor Kepala",'LAMPIRAN I DONE'!$F$21="Guru Besar"),1,""))))),"rumus")</f>
        <v>rumus</v>
      </c>
      <c r="L77" s="27" t="str">
        <f>IF(AND(I77&lt;&gt;"",J77&lt;&gt;""),(IF(SUMPRODUCT($I$74:I77,$J$74:J77)&lt;=10,"SKS&lt;=10",IF(SUMPRODUCT($I$74:I77,$J$74:J77)&gt;10,"SKS&gt;10",""))),"rumus")</f>
        <v>rumus</v>
      </c>
    </row>
    <row r="78" spans="1:14" s="2" customFormat="1" ht="25.5" hidden="1" customHeight="1" x14ac:dyDescent="0.45">
      <c r="A78" s="67">
        <v>5</v>
      </c>
      <c r="B78" s="163" t="s">
        <v>81</v>
      </c>
      <c r="C78" s="28" t="s">
        <v>113</v>
      </c>
      <c r="D78" s="28" t="str">
        <f t="shared" si="12"/>
        <v/>
      </c>
      <c r="E78" s="256" t="str">
        <f>IF(K78&lt;&gt;"rumus",(IF(OR(AND(L78="sks&gt;10",L77="sks&lt;=10",IFERROR(SUMPRODUCT($I$73:I77,$J$73:J77)&lt;10,FALSE)),AND(L78="sks&gt;10",L77="")),(((10-SUMPRODUCT($I$73:I77,$J$73:J77))&amp;" x "&amp;1)&amp;"
"&amp;(((I78*J78)-(10-SUMPRODUCT($I$73:I77,$J$73:J77)))&amp;" x "&amp;1)),(I78&amp;" x "&amp;J78))),"")</f>
        <v/>
      </c>
      <c r="F78" s="256" t="str">
        <f>IF(K78&lt;&gt;"rumus",(IF(OR(AND(L78="sks&gt;10",L77="sks&lt;=10",IFERROR(SUMPRODUCT($I$73:I77,$J$73:J77)&lt;10,FALSE)),AND(L78="sks&gt;10",L77="")),((IF('LAMPIRAN I DONE'!$F$21="Tenaga Pengajar",0.5,IF(OR('LAMPIRAN I DONE'!$F$21="Asisten Ahli",'LAMPIRAN I DONE'!$F$21="Lektor",'LAMPIRAN I DONE'!$F$21="Lektor Kepala",'LAMPIRAN I DONE'!$F$21="Guru Besar"),1,"")))&amp;"
"&amp;(IF('LAMPIRAN I DONE'!$F$21="Tenaga Pengajar",0.25,IF(OR('LAMPIRAN I DONE'!$F$21="Asisten Ahli",'LAMPIRAN I DONE'!$F$21="Lektor",'LAMPIRAN I DONE'!$F$21="Lektor Kepala",'LAMPIRAN I DONE'!$F$21="Guru Besar"),0.5,"")))),((IF(OR(AND(L78="sks&gt;10",L77="sks&gt;10"),AND(L78="sks&gt;10",L77="sks&lt;=10")),IF('LAMPIRAN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f>
        <v/>
      </c>
      <c r="G78" s="105" t="str">
        <f>IF(K78&lt;&gt;"rumus",(IF(OR(AND(L78="sks&gt;10",L77="sks&lt;=10",IFERROR(SUMPRODUCT($I$73:I77,$J$73:J77)&lt;10,FALSE)),AND(L78="sks&gt;10",L77="")),(((10-SUMPRODUCT($I$73:I77,$J$73:J77))&amp;" x "&amp;1&amp;" x "&amp;IF('LAMPIRAN I DONE'!$F$21="Tenaga Pengajar",0.5,IF(OR('LAMPIRAN I DONE'!$F$21="Asisten Ahli",'LAMPIRAN I DONE'!$F$21="Lektor",'LAMPIRAN I DONE'!$F$21="Lektor Kepala",'LAMPIRAN I DONE'!$F$21="Guru Besar"),1,""))&amp;" = "&amp;((10-SUMPRODUCT($I$73:I77,$J$73:J77))*IF('LAMPIRAN I DONE'!$F$21="Tenaga Pengajar",0.5,IF(OR('LAMPIRAN I DONE'!$F$21="Asisten Ahli",'LAMPIRAN I DONE'!$F$21="Lektor",'LAMPIRAN I DONE'!$F$21="Lektor Kepala",'LAMPIRAN I DONE'!$F$21="Guru Besar"),1,""))))&amp;"
"&amp;(((I78*J78)-(10-SUMPRODUCT($I$73:I77,$J$73:J77)))&amp;" x "&amp;1&amp;" x "&amp;IF('LAMPIRAN I DONE'!$F$21="Tenaga Pengajar",0.25,IF(OR('LAMPIRAN I DONE'!$F$21="Asisten Ahli",'LAMPIRAN I DONE'!$F$21="Lektor",'LAMPIRAN I DONE'!$F$21="Lektor Kepala",'LAMPIRAN I DONE'!$F$21="Guru Besar"),0.5,""))&amp;" = "&amp;(((I78*J78)-(10-SUMPRODUCT($I$73:I77,$J$73:J77)))*IF('LAMPIRAN I DONE'!$F$21="Tenaga Pengajar",0.25,IF(OR('LAMPIRAN I DONE'!$F$21="Asisten Ahli",'LAMPIRAN I DONE'!$F$21="Lektor",'LAMPIRAN I DONE'!$F$21="Lektor Kepala",'LAMPIRAN I DONE'!$F$21="Guru Besar"),0.5,""))))),(I78&amp;" x "&amp;J78&amp;" x "&amp;(IF(OR(AND(L78="sks&gt;10",L77="sks&gt;10"),AND(L78="sks&gt;10",L77="sks&lt;=10")),IF('LAMPIRAN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Besar"),1,""))))&amp;" = "&amp;K78))),"rumus")</f>
        <v>rumus</v>
      </c>
      <c r="H78" s="28" t="s">
        <v>620</v>
      </c>
      <c r="I78" s="34"/>
      <c r="J78" s="34"/>
      <c r="K78" s="27" t="str">
        <f>IF(AND(I78&lt;&gt;"",J78&lt;&gt;""),(IF(OR(AND(L78="sks&gt;10",L77="sks&lt;=10",IFERROR(SUMPRODUCT($I$73:I77,$J$73:J77)&lt;10,FALSE)),AND(L78="sks&gt;10",L77="")),(((10-SUMPRODUCT($I$73:I77,$J$73:J77))*IF('LAMPIRAN I DONE'!$F$21="Tenaga Pengajar",0.5,IF(OR('LAMPIRAN I DONE'!$F$21="Asisten Ahli",'LAMPIRAN I DONE'!$F$21="Lektor",'LAMPIRAN I DONE'!$F$21="Lektor Kepala",'LAMPIRAN I DONE'!$F$21="Guru Besar"),1,"")))+(((I78*J78)-(10-SUMPRODUCT($I$73:I77,$J$73:J77)))*IF('LAMPIRAN I DONE'!$F$21="Tenaga Pengajar",0.25,IF(OR('LAMPIRAN I DONE'!$F$21="Asisten Ahli",'LAMPIRAN I DONE'!$F$21="Lektor",'LAMPIRAN I DONE'!$F$21="Lektor Kepala",'LAMPIRAN I DONE'!$F$21="Guru Besar"),0.5,"")))),IF(OR(AND(L78="sks&gt;10",L77="sks&gt;10"),AND(L78="sks&gt;10",L77="sks&lt;=10")),I78*J78*IF('LAMPIRAN I DONE'!$F$21="Tenaga Pengajar",0.25,IF(OR('LAMPIRAN I DONE'!$F$21="Asisten Ahli",'LAMPIRAN I DONE'!$F$21="Lektor",'LAMPIRAN I DONE'!$F$21="Lektor Kepala",'LAMPIRAN I DONE'!$F$21="Guru Besar"),0.5,"")),I78*J78*IF('LAMPIRAN I DONE'!$F$21="Tenaga Pengajar",0.5,IF(OR('LAMPIRAN I DONE'!$F$21="Asisten Ahli",'LAMPIRAN I DONE'!$F$21="Lektor",'LAMPIRAN I DONE'!$F$21="Lektor Kepala",'LAMPIRAN I DONE'!$F$21="Guru Besar"),1,""))))),"rumus")</f>
        <v>rumus</v>
      </c>
      <c r="L78" s="27" t="str">
        <f>IF(AND(I78&lt;&gt;"",J78&lt;&gt;""),(IF(SUMPRODUCT($I$74:I78,$J$74:J78)&lt;=10,"SKS&lt;=10",IF(SUMPRODUCT($I$74:I78,$J$74:J78)&gt;10,"SKS&gt;10",""))),"rumus")</f>
        <v>rumus</v>
      </c>
    </row>
    <row r="79" spans="1:14" s="2" customFormat="1" ht="25.5" hidden="1" customHeight="1" x14ac:dyDescent="0.45">
      <c r="A79" s="67">
        <v>6</v>
      </c>
      <c r="B79" s="163" t="s">
        <v>81</v>
      </c>
      <c r="C79" s="28" t="s">
        <v>113</v>
      </c>
      <c r="D79" s="28" t="str">
        <f t="shared" si="12"/>
        <v/>
      </c>
      <c r="E79" s="256" t="str">
        <f>IF(K79&lt;&gt;"rumus",(IF(OR(AND(L79="sks&gt;10",L78="sks&lt;=10",IFERROR(SUMPRODUCT($I$73:I78,$J$73:J78)&lt;10,FALSE)),AND(L79="sks&gt;10",L78="")),(((10-SUMPRODUCT($I$73:I78,$J$73:J78))&amp;" x "&amp;1)&amp;"
"&amp;(((I79*J79)-(10-SUMPRODUCT($I$73:I78,$J$73:J78)))&amp;" x "&amp;1)),(I79&amp;" x "&amp;J79))),"")</f>
        <v/>
      </c>
      <c r="F79" s="256" t="str">
        <f>IF(K79&lt;&gt;"rumus",(IF(OR(AND(L79="sks&gt;10",L78="sks&lt;=10",IFERROR(SUMPRODUCT($I$73:I78,$J$73:J78)&lt;10,FALSE)),AND(L79="sks&gt;10",L78="")),((IF('LAMPIRAN I DONE'!$F$21="Tenaga Pengajar",0.5,IF(OR('LAMPIRAN I DONE'!$F$21="Asisten Ahli",'LAMPIRAN I DONE'!$F$21="Lektor",'LAMPIRAN I DONE'!$F$21="Lektor Kepala",'LAMPIRAN I DONE'!$F$21="Guru Besar"),1,"")))&amp;"
"&amp;(IF('LAMPIRAN I DONE'!$F$21="Tenaga Pengajar",0.25,IF(OR('LAMPIRAN I DONE'!$F$21="Asisten Ahli",'LAMPIRAN I DONE'!$F$21="Lektor",'LAMPIRAN I DONE'!$F$21="Lektor Kepala",'LAMPIRAN I DONE'!$F$21="Guru Besar"),0.5,"")))),((IF(OR(AND(L79="sks&gt;10",L78="sks&gt;10"),AND(L79="sks&gt;10",L78="sks&lt;=10")),IF('LAMPIRAN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f>
        <v/>
      </c>
      <c r="G79" s="105" t="str">
        <f>IF(K79&lt;&gt;"rumus",(IF(OR(AND(L79="sks&gt;10",L78="sks&lt;=10",IFERROR(SUMPRODUCT($I$73:I78,$J$73:J78)&lt;10,FALSE)),AND(L79="sks&gt;10",L78="")),(((10-SUMPRODUCT($I$73:I78,$J$73:J78))&amp;" x "&amp;1&amp;" x "&amp;IF('LAMPIRAN I DONE'!$F$21="Tenaga Pengajar",0.5,IF(OR('LAMPIRAN I DONE'!$F$21="Asisten Ahli",'LAMPIRAN I DONE'!$F$21="Lektor",'LAMPIRAN I DONE'!$F$21="Lektor Kepala",'LAMPIRAN I DONE'!$F$21="Guru Besar"),1,""))&amp;" = "&amp;((10-SUMPRODUCT($I$73:I78,$J$73:J78))*IF('LAMPIRAN I DONE'!$F$21="Tenaga Pengajar",0.5,IF(OR('LAMPIRAN I DONE'!$F$21="Asisten Ahli",'LAMPIRAN I DONE'!$F$21="Lektor",'LAMPIRAN I DONE'!$F$21="Lektor Kepala",'LAMPIRAN I DONE'!$F$21="Guru Besar"),1,""))))&amp;"
"&amp;(((I79*J79)-(10-SUMPRODUCT($I$73:I78,$J$73:J78)))&amp;" x "&amp;1&amp;" x "&amp;IF('LAMPIRAN I DONE'!$F$21="Tenaga Pengajar",0.25,IF(OR('LAMPIRAN I DONE'!$F$21="Asisten Ahli",'LAMPIRAN I DONE'!$F$21="Lektor",'LAMPIRAN I DONE'!$F$21="Lektor Kepala",'LAMPIRAN I DONE'!$F$21="Guru Besar"),0.5,""))&amp;" = "&amp;(((I79*J79)-(10-SUMPRODUCT($I$73:I78,$J$73:J78)))*IF('LAMPIRAN I DONE'!$F$21="Tenaga Pengajar",0.25,IF(OR('LAMPIRAN I DONE'!$F$21="Asisten Ahli",'LAMPIRAN I DONE'!$F$21="Lektor",'LAMPIRAN I DONE'!$F$21="Lektor Kepala",'LAMPIRAN I DONE'!$F$21="Guru Besar"),0.5,""))))),(I79&amp;" x "&amp;J79&amp;" x "&amp;(IF(OR(AND(L79="sks&gt;10",L78="sks&gt;10"),AND(L79="sks&gt;10",L78="sks&lt;=10")),IF('LAMPIRAN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Besar"),1,""))))&amp;" = "&amp;K79))),"rumus")</f>
        <v>rumus</v>
      </c>
      <c r="H79" s="28" t="s">
        <v>620</v>
      </c>
      <c r="I79" s="34"/>
      <c r="J79" s="34"/>
      <c r="K79" s="27" t="str">
        <f>IF(AND(I79&lt;&gt;"",J79&lt;&gt;""),(IF(OR(AND(L79="sks&gt;10",L78="sks&lt;=10",IFERROR(SUMPRODUCT($I$73:I78,$J$73:J78)&lt;10,FALSE)),AND(L79="sks&gt;10",L78="")),(((10-SUMPRODUCT($I$73:I78,$J$73:J78))*IF('LAMPIRAN I DONE'!$F$21="Tenaga Pengajar",0.5,IF(OR('LAMPIRAN I DONE'!$F$21="Asisten Ahli",'LAMPIRAN I DONE'!$F$21="Lektor",'LAMPIRAN I DONE'!$F$21="Lektor Kepala",'LAMPIRAN I DONE'!$F$21="Guru Besar"),1,"")))+(((I79*J79)-(10-SUMPRODUCT($I$73:I78,$J$73:J78)))*IF('LAMPIRAN I DONE'!$F$21="Tenaga Pengajar",0.25,IF(OR('LAMPIRAN I DONE'!$F$21="Asisten Ahli",'LAMPIRAN I DONE'!$F$21="Lektor",'LAMPIRAN I DONE'!$F$21="Lektor Kepala",'LAMPIRAN I DONE'!$F$21="Guru Besar"),0.5,"")))),IF(OR(AND(L79="sks&gt;10",L78="sks&gt;10"),AND(L79="sks&gt;10",L78="sks&lt;=10")),I79*J79*IF('LAMPIRAN I DONE'!$F$21="Tenaga Pengajar",0.25,IF(OR('LAMPIRAN I DONE'!$F$21="Asisten Ahli",'LAMPIRAN I DONE'!$F$21="Lektor",'LAMPIRAN I DONE'!$F$21="Lektor Kepala",'LAMPIRAN I DONE'!$F$21="Guru Besar"),0.5,"")),I79*J79*IF('LAMPIRAN I DONE'!$F$21="Tenaga Pengajar",0.5,IF(OR('LAMPIRAN I DONE'!$F$21="Asisten Ahli",'LAMPIRAN I DONE'!$F$21="Lektor",'LAMPIRAN I DONE'!$F$21="Lektor Kepala",'LAMPIRAN I DONE'!$F$21="Guru Besar"),1,""))))),"rumus")</f>
        <v>rumus</v>
      </c>
      <c r="L79" s="27" t="str">
        <f>IF(AND(I79&lt;&gt;"",J79&lt;&gt;""),(IF(SUMPRODUCT($I$74:I79,$J$74:J79)&lt;=10,"SKS&lt;=10",IF(SUMPRODUCT($I$74:I79,$J$74:J79)&gt;10,"SKS&gt;10",""))),"rumus")</f>
        <v>rumus</v>
      </c>
    </row>
    <row r="80" spans="1:14" s="2" customFormat="1" ht="15" hidden="1" customHeight="1" x14ac:dyDescent="0.45">
      <c r="A80" s="67"/>
      <c r="B80" s="168" t="str">
        <f>"a. Semester Gasal "&amp;IF(C81&lt;&gt;"",C81,"")&amp;" :"</f>
        <v>a. Semester Gasal 2013/2014 :</v>
      </c>
      <c r="C80" s="111"/>
      <c r="D80" s="111"/>
      <c r="E80" s="111"/>
      <c r="F80" s="111"/>
      <c r="G80" s="111"/>
      <c r="H80" s="112"/>
      <c r="I80" s="496"/>
      <c r="J80" s="496"/>
      <c r="K80" s="109"/>
      <c r="L80" s="109"/>
      <c r="M80" s="104">
        <f>IF((AND(N80="Max 5,5",SUM(K74:K79)&lt;=5.5)),SUM(K74:K79),IF((AND(N80="Max 5,5",SUM(K74:K79)&gt;5.5)),5.5,IF((AND(N80="Max 11",SUM(K74:K79)&lt;=11)),SUM(K74:K79),IF((AND(N80="Max 11",SUM(K74:K79)&gt;11)),11,""))))</f>
        <v>0</v>
      </c>
      <c r="N80" s="33" t="str">
        <f>IF('LAMPIRAN I DONE'!$F$21="Tenaga Pengajar","Max 5,5",IF(OR('LAMPIRAN I DONE'!$F$21="Asisten Ahli",'LAMPIRAN I DONE'!$F$21="Lektor",'LAMPIRAN I DONE'!$F$21="Lektor Kepala",'LAMPIRAN I DONE'!$F$21="Guru Besar"),"Max 11",""))</f>
        <v>Max 11</v>
      </c>
    </row>
    <row r="81" spans="1:14" s="2" customFormat="1" ht="25.5" hidden="1" customHeight="1" x14ac:dyDescent="0.45">
      <c r="A81" s="67">
        <v>1</v>
      </c>
      <c r="B81" s="163" t="s">
        <v>81</v>
      </c>
      <c r="C81" s="28" t="s">
        <v>114</v>
      </c>
      <c r="D81" s="28" t="str">
        <f>IF(G81&lt;&gt;"rumus","SKS","")</f>
        <v/>
      </c>
      <c r="E81" s="256" t="str">
        <f>IF(K81&lt;&gt;"rumus",(IF(OR(AND(L81="sks&gt;10",L80="sks&lt;=10",IFERROR(SUMPRODUCT($I$80:I80,$J$80:J80)&lt;10,FALSE)),AND(L81="sks&gt;10",L80="")),(((10-SUMPRODUCT($I$80:I80,$J$80:J80))&amp;" x "&amp;1)&amp;"
"&amp;(((I81*J81)-(10-SUMPRODUCT($I$80:I80,$J$80:J80)))&amp;" x "&amp;1)),(I81&amp;" x "&amp;J81))),"")</f>
        <v/>
      </c>
      <c r="F81" s="256" t="str">
        <f>IF(K81&lt;&gt;"rumus",(IF(OR(AND(L81="sks&gt;10",L80="sks&lt;=10",IFERROR(SUMPRODUCT($I$80:I80,$J$80:J80)&lt;10,FALSE)),AND(L81="sks&gt;10",L80="")),((IF('LAMPIRAN I DONE'!$F$21="Tenaga Pengajar",0.5,IF(OR('LAMPIRAN I DONE'!$F$21="Asisten Ahli",'LAMPIRAN I DONE'!$F$21="Lektor",'LAMPIRAN I DONE'!$F$21="Lektor Kepala",'LAMPIRAN I DONE'!$F$21="Guru Besar"),1,"")))&amp;"
"&amp;(IF('LAMPIRAN I DONE'!$F$21="Tenaga Pengajar",0.25,IF(OR('LAMPIRAN I DONE'!$F$21="Asisten Ahli",'LAMPIRAN I DONE'!$F$21="Lektor",'LAMPIRAN I DONE'!$F$21="Lektor Kepala",'LAMPIRAN I DONE'!$F$21="Guru Besar"),0.5,"")))),((IF(OR(AND(L81="sks&gt;10",L80="sks&gt;10"),AND(L81="sks&gt;10",L80="sks&lt;=10")),IF('LAMPIRAN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f>
        <v/>
      </c>
      <c r="G81" s="105" t="str">
        <f>IF(K81&lt;&gt;"rumus",(IF(OR(AND(L81="sks&gt;10",L80="sks&lt;=10",IFERROR(SUMPRODUCT($I$80:I80,$J$80:J80)&lt;10,FALSE)),AND(L81="sks&gt;10",L80="")),(((10-SUMPRODUCT($I$80:I80,$J$80:J80))&amp;" x "&amp;1&amp;" x "&amp;IF('LAMPIRAN I DONE'!$F$21="Tenaga Pengajar",0.5,IF(OR('LAMPIRAN I DONE'!$F$21="Asisten Ahli",'LAMPIRAN I DONE'!$F$21="Lektor",'LAMPIRAN I DONE'!$F$21="Lektor Kepala",'LAMPIRAN I DONE'!$F$21="Guru Besar"),1,""))&amp;" = "&amp;((10-SUMPRODUCT($I$80:I80,$J$80:J80))*IF('LAMPIRAN I DONE'!$F$21="Tenaga Pengajar",0.5,IF(OR('LAMPIRAN I DONE'!$F$21="Asisten Ahli",'LAMPIRAN I DONE'!$F$21="Lektor",'LAMPIRAN I DONE'!$F$21="Lektor Kepala",'LAMPIRAN I DONE'!$F$21="Guru Besar"),1,""))))&amp;"
"&amp;(((I81*J81)-(10-SUMPRODUCT($I$80:I80,$J$80:J80)))&amp;" x "&amp;1&amp;" x "&amp;IF('LAMPIRAN I DONE'!$F$21="Tenaga Pengajar",0.25,IF(OR('LAMPIRAN I DONE'!$F$21="Asisten Ahli",'LAMPIRAN I DONE'!$F$21="Lektor",'LAMPIRAN I DONE'!$F$21="Lektor Kepala",'LAMPIRAN I DONE'!$F$21="Guru Besar"),0.5,""))&amp;" = "&amp;(((I81*J81)-(10-SUMPRODUCT($I$80:I80,$J$80:J80)))*IF('LAMPIRAN I DONE'!$F$21="Tenaga Pengajar",0.25,IF(OR('LAMPIRAN I DONE'!$F$21="Asisten Ahli",'LAMPIRAN I DONE'!$F$21="Lektor",'LAMPIRAN I DONE'!$F$21="Lektor Kepala",'LAMPIRAN I DONE'!$F$21="Guru Besar"),0.5,""))))),(I81&amp;" x "&amp;J81&amp;" x "&amp;(IF(OR(AND(L81="sks&gt;10",L80="sks&gt;10"),AND(L81="sks&gt;10",L80="sks&lt;=10")),IF('LAMPIRAN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Besar"),1,""))))&amp;" = "&amp;K81))),"rumus")</f>
        <v>rumus</v>
      </c>
      <c r="H81" s="28" t="s">
        <v>620</v>
      </c>
      <c r="I81" s="34"/>
      <c r="J81" s="34"/>
      <c r="K81" s="27" t="str">
        <f>IF(AND(I81&lt;&gt;"",J81&lt;&gt;""),(IF(OR(AND(L81="sks&gt;10",L80="sks&lt;=10",IFERROR(SUMPRODUCT($I$80:I80,$J$80:J80)&lt;10,FALSE)),AND(L81="sks&gt;10",L80="")),(((10-SUMPRODUCT($I$80:I80,$J$80:J80))*IF('LAMPIRAN I DONE'!$F$21="Tenaga Pengajar",0.5,IF(OR('LAMPIRAN I DONE'!$F$21="Asisten Ahli",'LAMPIRAN I DONE'!$F$21="Lektor",'LAMPIRAN I DONE'!$F$21="Lektor Kepala",'LAMPIRAN I DONE'!$F$21="Guru Besar"),1,"")))+(((I81*J81)-(10-SUMPRODUCT($I$80:I80,$J$80:J80)))*IF('LAMPIRAN I DONE'!$F$21="Tenaga Pengajar",0.25,IF(OR('LAMPIRAN I DONE'!$F$21="Asisten Ahli",'LAMPIRAN I DONE'!$F$21="Lektor",'LAMPIRAN I DONE'!$F$21="Lektor Kepala",'LAMPIRAN I DONE'!$F$21="Guru Besar"),0.5,"")))),IF(OR(AND(L81="sks&gt;10",L80="sks&gt;10"),AND(L81="sks&gt;10",L80="sks&lt;=10")),I81*J81*IF('LAMPIRAN I DONE'!$F$21="Tenaga Pengajar",0.25,IF(OR('LAMPIRAN I DONE'!$F$21="Asisten Ahli",'LAMPIRAN I DONE'!$F$21="Lektor",'LAMPIRAN I DONE'!$F$21="Lektor Kepala",'LAMPIRAN I DONE'!$F$21="Guru Besar"),0.5,"")),I81*J81*IF('LAMPIRAN I DONE'!$F$21="Tenaga Pengajar",0.5,IF(OR('LAMPIRAN I DONE'!$F$21="Asisten Ahli",'LAMPIRAN I DONE'!$F$21="Lektor",'LAMPIRAN I DONE'!$F$21="Lektor Kepala",'LAMPIRAN I DONE'!$F$21="Guru Besar"),1,""))))),"rumus")</f>
        <v>rumus</v>
      </c>
      <c r="L81" s="27" t="str">
        <f>IF(AND(I81&lt;&gt;"",J81&lt;&gt;""),(IF(SUMPRODUCT($I$81:I81,$J$81:J81)&lt;=10,"SKS&lt;=10",IF(SUMPRODUCT($I$81:I81,$J$81:J81)&gt;10,"SKS&gt;10",""))),"rumus")</f>
        <v>rumus</v>
      </c>
    </row>
    <row r="82" spans="1:14" s="2" customFormat="1" ht="25.5" hidden="1" customHeight="1" x14ac:dyDescent="0.45">
      <c r="A82" s="67">
        <v>2</v>
      </c>
      <c r="B82" s="163" t="s">
        <v>81</v>
      </c>
      <c r="C82" s="28" t="s">
        <v>114</v>
      </c>
      <c r="D82" s="28" t="str">
        <f t="shared" ref="D82:D86" si="13">IF(G82&lt;&gt;"rumus","SKS","")</f>
        <v/>
      </c>
      <c r="E82" s="256" t="str">
        <f>IF(K82&lt;&gt;"rumus",(IF(OR(AND(L82="sks&gt;10",L81="sks&lt;=10",IFERROR(SUMPRODUCT($I$80:I81,$J$80:J81)&lt;10,FALSE)),AND(L82="sks&gt;10",L81="")),(((10-SUMPRODUCT($I$80:I81,$J$80:J81))&amp;" x "&amp;1)&amp;"
"&amp;(((I82*J82)-(10-SUMPRODUCT($I$80:I81,$J$80:J81)))&amp;" x "&amp;1)),(I82&amp;" x "&amp;J82))),"")</f>
        <v/>
      </c>
      <c r="F82" s="256" t="str">
        <f>IF(K82&lt;&gt;"rumus",(IF(OR(AND(L82="sks&gt;10",L81="sks&lt;=10",IFERROR(SUMPRODUCT($I$80:I81,$J$80:J81)&lt;10,FALSE)),AND(L82="sks&gt;10",L81="")),((IF('LAMPIRAN I DONE'!$F$21="Tenaga Pengajar",0.5,IF(OR('LAMPIRAN I DONE'!$F$21="Asisten Ahli",'LAMPIRAN I DONE'!$F$21="Lektor",'LAMPIRAN I DONE'!$F$21="Lektor Kepala",'LAMPIRAN I DONE'!$F$21="Guru Besar"),1,"")))&amp;"
"&amp;(IF('LAMPIRAN I DONE'!$F$21="Tenaga Pengajar",0.25,IF(OR('LAMPIRAN I DONE'!$F$21="Asisten Ahli",'LAMPIRAN I DONE'!$F$21="Lektor",'LAMPIRAN I DONE'!$F$21="Lektor Kepala",'LAMPIRAN I DONE'!$F$21="Guru Besar"),0.5,"")))),((IF(OR(AND(L82="sks&gt;10",L81="sks&gt;10"),AND(L82="sks&gt;10",L81="sks&lt;=10")),IF('LAMPIRAN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f>
        <v/>
      </c>
      <c r="G82" s="105" t="str">
        <f>IF(K82&lt;&gt;"rumus",(IF(OR(AND(L82="sks&gt;10",L81="sks&lt;=10",IFERROR(SUMPRODUCT($I$80:I81,$J$80:J81)&lt;10,FALSE)),AND(L82="sks&gt;10",L81="")),(((10-SUMPRODUCT($I$80:I81,$J$80:J81))&amp;" x "&amp;1&amp;" x "&amp;IF('LAMPIRAN I DONE'!$F$21="Tenaga Pengajar",0.5,IF(OR('LAMPIRAN I DONE'!$F$21="Asisten Ahli",'LAMPIRAN I DONE'!$F$21="Lektor",'LAMPIRAN I DONE'!$F$21="Lektor Kepala",'LAMPIRAN I DONE'!$F$21="Guru Besar"),1,""))&amp;" = "&amp;((10-SUMPRODUCT($I$80:I81,$J$80:J81))*IF('LAMPIRAN I DONE'!$F$21="Tenaga Pengajar",0.5,IF(OR('LAMPIRAN I DONE'!$F$21="Asisten Ahli",'LAMPIRAN I DONE'!$F$21="Lektor",'LAMPIRAN I DONE'!$F$21="Lektor Kepala",'LAMPIRAN I DONE'!$F$21="Guru Besar"),1,""))))&amp;"
"&amp;(((I82*J82)-(10-SUMPRODUCT($I$80:I81,$J$80:J81)))&amp;" x "&amp;1&amp;" x "&amp;IF('LAMPIRAN I DONE'!$F$21="Tenaga Pengajar",0.25,IF(OR('LAMPIRAN I DONE'!$F$21="Asisten Ahli",'LAMPIRAN I DONE'!$F$21="Lektor",'LAMPIRAN I DONE'!$F$21="Lektor Kepala",'LAMPIRAN I DONE'!$F$21="Guru Besar"),0.5,""))&amp;" = "&amp;(((I82*J82)-(10-SUMPRODUCT($I$80:I81,$J$80:J81)))*IF('LAMPIRAN I DONE'!$F$21="Tenaga Pengajar",0.25,IF(OR('LAMPIRAN I DONE'!$F$21="Asisten Ahli",'LAMPIRAN I DONE'!$F$21="Lektor",'LAMPIRAN I DONE'!$F$21="Lektor Kepala",'LAMPIRAN I DONE'!$F$21="Guru Besar"),0.5,""))))),(I82&amp;" x "&amp;J82&amp;" x "&amp;(IF(OR(AND(L82="sks&gt;10",L81="sks&gt;10"),AND(L82="sks&gt;10",L81="sks&lt;=10")),IF('LAMPIRAN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Besar"),1,""))))&amp;" = "&amp;K82))),"rumus")</f>
        <v>rumus</v>
      </c>
      <c r="H82" s="28" t="s">
        <v>620</v>
      </c>
      <c r="I82" s="34"/>
      <c r="J82" s="34"/>
      <c r="K82" s="27" t="str">
        <f>IF(AND(I82&lt;&gt;"",J82&lt;&gt;""),(IF(OR(AND(L82="sks&gt;10",L81="sks&lt;=10",IFERROR(SUMPRODUCT($I$80:I81,$J$80:J81)&lt;10,FALSE)),AND(L82="sks&gt;10",L81="")),(((10-SUMPRODUCT($I$80:I81,$J$80:J81))*IF('LAMPIRAN I DONE'!$F$21="Tenaga Pengajar",0.5,IF(OR('LAMPIRAN I DONE'!$F$21="Asisten Ahli",'LAMPIRAN I DONE'!$F$21="Lektor",'LAMPIRAN I DONE'!$F$21="Lektor Kepala",'LAMPIRAN I DONE'!$F$21="Guru Besar"),1,"")))+(((I82*J82)-(10-SUMPRODUCT($I$80:I81,$J$80:J81)))*IF('LAMPIRAN I DONE'!$F$21="Tenaga Pengajar",0.25,IF(OR('LAMPIRAN I DONE'!$F$21="Asisten Ahli",'LAMPIRAN I DONE'!$F$21="Lektor",'LAMPIRAN I DONE'!$F$21="Lektor Kepala",'LAMPIRAN I DONE'!$F$21="Guru Besar"),0.5,"")))),IF(OR(AND(L82="sks&gt;10",L81="sks&gt;10"),AND(L82="sks&gt;10",L81="sks&lt;=10")),I82*J82*IF('LAMPIRAN I DONE'!$F$21="Tenaga Pengajar",0.25,IF(OR('LAMPIRAN I DONE'!$F$21="Asisten Ahli",'LAMPIRAN I DONE'!$F$21="Lektor",'LAMPIRAN I DONE'!$F$21="Lektor Kepala",'LAMPIRAN I DONE'!$F$21="Guru Besar"),0.5,"")),I82*J82*IF('LAMPIRAN I DONE'!$F$21="Tenaga Pengajar",0.5,IF(OR('LAMPIRAN I DONE'!$F$21="Asisten Ahli",'LAMPIRAN I DONE'!$F$21="Lektor",'LAMPIRAN I DONE'!$F$21="Lektor Kepala",'LAMPIRAN I DONE'!$F$21="Guru Besar"),1,""))))),"rumus")</f>
        <v>rumus</v>
      </c>
      <c r="L82" s="27" t="str">
        <f>IF(AND(I82&lt;&gt;"",J82&lt;&gt;""),(IF(SUMPRODUCT($I$81:I82,$J$81:J82)&lt;=10,"SKS&lt;=10",IF(SUMPRODUCT($I$81:I82,$J$81:J82)&gt;10,"SKS&gt;10",""))),"rumus")</f>
        <v>rumus</v>
      </c>
    </row>
    <row r="83" spans="1:14" s="2" customFormat="1" ht="25.5" hidden="1" customHeight="1" x14ac:dyDescent="0.45">
      <c r="A83" s="67">
        <v>3</v>
      </c>
      <c r="B83" s="163" t="s">
        <v>81</v>
      </c>
      <c r="C83" s="28" t="s">
        <v>114</v>
      </c>
      <c r="D83" s="28" t="str">
        <f t="shared" si="13"/>
        <v/>
      </c>
      <c r="E83" s="256" t="str">
        <f>IF(K83&lt;&gt;"rumus",(IF(OR(AND(L83="sks&gt;10",L82="sks&lt;=10",IFERROR(SUMPRODUCT($I$80:I82,$J$80:J82)&lt;10,FALSE)),AND(L83="sks&gt;10",L82="")),(((10-SUMPRODUCT($I$80:I82,$J$80:J82))&amp;" x "&amp;1)&amp;"
"&amp;(((I83*J83)-(10-SUMPRODUCT($I$80:I82,$J$80:J82)))&amp;" x "&amp;1)),(I83&amp;" x "&amp;J83))),"")</f>
        <v/>
      </c>
      <c r="F83" s="256" t="str">
        <f>IF(K83&lt;&gt;"rumus",(IF(OR(AND(L83="sks&gt;10",L82="sks&lt;=10",IFERROR(SUMPRODUCT($I$80:I82,$J$80:J82)&lt;10,FALSE)),AND(L83="sks&gt;10",L82="")),((IF('LAMPIRAN I DONE'!$F$21="Tenaga Pengajar",0.5,IF(OR('LAMPIRAN I DONE'!$F$21="Asisten Ahli",'LAMPIRAN I DONE'!$F$21="Lektor",'LAMPIRAN I DONE'!$F$21="Lektor Kepala",'LAMPIRAN I DONE'!$F$21="Guru Besar"),1,"")))&amp;"
"&amp;(IF('LAMPIRAN I DONE'!$F$21="Tenaga Pengajar",0.25,IF(OR('LAMPIRAN I DONE'!$F$21="Asisten Ahli",'LAMPIRAN I DONE'!$F$21="Lektor",'LAMPIRAN I DONE'!$F$21="Lektor Kepala",'LAMPIRAN I DONE'!$F$21="Guru Besar"),0.5,"")))),((IF(OR(AND(L83="sks&gt;10",L82="sks&gt;10"),AND(L83="sks&gt;10",L82="sks&lt;=10")),IF('LAMPIRAN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f>
        <v/>
      </c>
      <c r="G83" s="105" t="str">
        <f>IF(K83&lt;&gt;"rumus",(IF(OR(AND(L83="sks&gt;10",L82="sks&lt;=10",IFERROR(SUMPRODUCT($I$80:I82,$J$80:J82)&lt;10,FALSE)),AND(L83="sks&gt;10",L82="")),(((10-SUMPRODUCT($I$80:I82,$J$80:J82))&amp;" x "&amp;1&amp;" x "&amp;IF('LAMPIRAN I DONE'!$F$21="Tenaga Pengajar",0.5,IF(OR('LAMPIRAN I DONE'!$F$21="Asisten Ahli",'LAMPIRAN I DONE'!$F$21="Lektor",'LAMPIRAN I DONE'!$F$21="Lektor Kepala",'LAMPIRAN I DONE'!$F$21="Guru Besar"),1,""))&amp;" = "&amp;((10-SUMPRODUCT($I$80:I82,$J$80:J82))*IF('LAMPIRAN I DONE'!$F$21="Tenaga Pengajar",0.5,IF(OR('LAMPIRAN I DONE'!$F$21="Asisten Ahli",'LAMPIRAN I DONE'!$F$21="Lektor",'LAMPIRAN I DONE'!$F$21="Lektor Kepala",'LAMPIRAN I DONE'!$F$21="Guru Besar"),1,""))))&amp;"
"&amp;(((I83*J83)-(10-SUMPRODUCT($I$80:I82,$J$80:J82)))&amp;" x "&amp;1&amp;" x "&amp;IF('LAMPIRAN I DONE'!$F$21="Tenaga Pengajar",0.25,IF(OR('LAMPIRAN I DONE'!$F$21="Asisten Ahli",'LAMPIRAN I DONE'!$F$21="Lektor",'LAMPIRAN I DONE'!$F$21="Lektor Kepala",'LAMPIRAN I DONE'!$F$21="Guru Besar"),0.5,""))&amp;" = "&amp;(((I83*J83)-(10-SUMPRODUCT($I$80:I82,$J$80:J82)))*IF('LAMPIRAN I DONE'!$F$21="Tenaga Pengajar",0.25,IF(OR('LAMPIRAN I DONE'!$F$21="Asisten Ahli",'LAMPIRAN I DONE'!$F$21="Lektor",'LAMPIRAN I DONE'!$F$21="Lektor Kepala",'LAMPIRAN I DONE'!$F$21="Guru Besar"),0.5,""))))),(I83&amp;" x "&amp;J83&amp;" x "&amp;(IF(OR(AND(L83="sks&gt;10",L82="sks&gt;10"),AND(L83="sks&gt;10",L82="sks&lt;=10")),IF('LAMPIRAN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Besar"),1,""))))&amp;" = "&amp;K83))),"rumus")</f>
        <v>rumus</v>
      </c>
      <c r="H83" s="28" t="s">
        <v>620</v>
      </c>
      <c r="I83" s="34"/>
      <c r="J83" s="34"/>
      <c r="K83" s="27" t="str">
        <f>IF(AND(I83&lt;&gt;"",J83&lt;&gt;""),(IF(OR(AND(L83="sks&gt;10",L82="sks&lt;=10",IFERROR(SUMPRODUCT($I$80:I82,$J$80:J82)&lt;10,FALSE)),AND(L83="sks&gt;10",L82="")),(((10-SUMPRODUCT($I$80:I82,$J$80:J82))*IF('LAMPIRAN I DONE'!$F$21="Tenaga Pengajar",0.5,IF(OR('LAMPIRAN I DONE'!$F$21="Asisten Ahli",'LAMPIRAN I DONE'!$F$21="Lektor",'LAMPIRAN I DONE'!$F$21="Lektor Kepala",'LAMPIRAN I DONE'!$F$21="Guru Besar"),1,"")))+(((I83*J83)-(10-SUMPRODUCT($I$80:I82,$J$80:J82)))*IF('LAMPIRAN I DONE'!$F$21="Tenaga Pengajar",0.25,IF(OR('LAMPIRAN I DONE'!$F$21="Asisten Ahli",'LAMPIRAN I DONE'!$F$21="Lektor",'LAMPIRAN I DONE'!$F$21="Lektor Kepala",'LAMPIRAN I DONE'!$F$21="Guru Besar"),0.5,"")))),IF(OR(AND(L83="sks&gt;10",L82="sks&gt;10"),AND(L83="sks&gt;10",L82="sks&lt;=10")),I83*J83*IF('LAMPIRAN I DONE'!$F$21="Tenaga Pengajar",0.25,IF(OR('LAMPIRAN I DONE'!$F$21="Asisten Ahli",'LAMPIRAN I DONE'!$F$21="Lektor",'LAMPIRAN I DONE'!$F$21="Lektor Kepala",'LAMPIRAN I DONE'!$F$21="Guru Besar"),0.5,"")),I83*J83*IF('LAMPIRAN I DONE'!$F$21="Tenaga Pengajar",0.5,IF(OR('LAMPIRAN I DONE'!$F$21="Asisten Ahli",'LAMPIRAN I DONE'!$F$21="Lektor",'LAMPIRAN I DONE'!$F$21="Lektor Kepala",'LAMPIRAN I DONE'!$F$21="Guru Besar"),1,""))))),"rumus")</f>
        <v>rumus</v>
      </c>
      <c r="L83" s="27" t="str">
        <f>IF(AND(I83&lt;&gt;"",J83&lt;&gt;""),(IF(SUMPRODUCT($I$81:I83,$J$81:J83)&lt;=10,"SKS&lt;=10",IF(SUMPRODUCT($I$81:I83,$J$81:J83)&gt;10,"SKS&gt;10",""))),"rumus")</f>
        <v>rumus</v>
      </c>
    </row>
    <row r="84" spans="1:14" s="2" customFormat="1" ht="25.5" hidden="1" customHeight="1" x14ac:dyDescent="0.45">
      <c r="A84" s="67">
        <v>4</v>
      </c>
      <c r="B84" s="163" t="s">
        <v>81</v>
      </c>
      <c r="C84" s="28" t="s">
        <v>114</v>
      </c>
      <c r="D84" s="28" t="str">
        <f t="shared" si="13"/>
        <v/>
      </c>
      <c r="E84" s="256" t="str">
        <f>IF(K84&lt;&gt;"rumus",(IF(OR(AND(L84="sks&gt;10",L83="sks&lt;=10",IFERROR(SUMPRODUCT($I$80:I83,$J$80:J83)&lt;10,FALSE)),AND(L84="sks&gt;10",L83="")),(((10-SUMPRODUCT($I$80:I83,$J$80:J83))&amp;" x "&amp;1)&amp;"
"&amp;(((I84*J84)-(10-SUMPRODUCT($I$80:I83,$J$80:J83)))&amp;" x "&amp;1)),(I84&amp;" x "&amp;J84))),"")</f>
        <v/>
      </c>
      <c r="F84" s="256" t="str">
        <f>IF(K84&lt;&gt;"rumus",(IF(OR(AND(L84="sks&gt;10",L83="sks&lt;=10",IFERROR(SUMPRODUCT($I$80:I83,$J$80:J83)&lt;10,FALSE)),AND(L84="sks&gt;10",L83="")),((IF('LAMPIRAN I DONE'!$F$21="Tenaga Pengajar",0.5,IF(OR('LAMPIRAN I DONE'!$F$21="Asisten Ahli",'LAMPIRAN I DONE'!$F$21="Lektor",'LAMPIRAN I DONE'!$F$21="Lektor Kepala",'LAMPIRAN I DONE'!$F$21="Guru Besar"),1,"")))&amp;"
"&amp;(IF('LAMPIRAN I DONE'!$F$21="Tenaga Pengajar",0.25,IF(OR('LAMPIRAN I DONE'!$F$21="Asisten Ahli",'LAMPIRAN I DONE'!$F$21="Lektor",'LAMPIRAN I DONE'!$F$21="Lektor Kepala",'LAMPIRAN I DONE'!$F$21="Guru Besar"),0.5,"")))),((IF(OR(AND(L84="sks&gt;10",L83="sks&gt;10"),AND(L84="sks&gt;10",L83="sks&lt;=10")),IF('LAMPIRAN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f>
        <v/>
      </c>
      <c r="G84" s="105" t="str">
        <f>IF(K84&lt;&gt;"rumus",(IF(OR(AND(L84="sks&gt;10",L83="sks&lt;=10",IFERROR(SUMPRODUCT($I$80:I83,$J$80:J83)&lt;10,FALSE)),AND(L84="sks&gt;10",L83="")),(((10-SUMPRODUCT($I$80:I83,$J$80:J83))&amp;" x "&amp;1&amp;" x "&amp;IF('LAMPIRAN I DONE'!$F$21="Tenaga Pengajar",0.5,IF(OR('LAMPIRAN I DONE'!$F$21="Asisten Ahli",'LAMPIRAN I DONE'!$F$21="Lektor",'LAMPIRAN I DONE'!$F$21="Lektor Kepala",'LAMPIRAN I DONE'!$F$21="Guru Besar"),1,""))&amp;" = "&amp;((10-SUMPRODUCT($I$80:I83,$J$80:J83))*IF('LAMPIRAN I DONE'!$F$21="Tenaga Pengajar",0.5,IF(OR('LAMPIRAN I DONE'!$F$21="Asisten Ahli",'LAMPIRAN I DONE'!$F$21="Lektor",'LAMPIRAN I DONE'!$F$21="Lektor Kepala",'LAMPIRAN I DONE'!$F$21="Guru Besar"),1,""))))&amp;"
"&amp;(((I84*J84)-(10-SUMPRODUCT($I$80:I83,$J$80:J83)))&amp;" x "&amp;1&amp;" x "&amp;IF('LAMPIRAN I DONE'!$F$21="Tenaga Pengajar",0.25,IF(OR('LAMPIRAN I DONE'!$F$21="Asisten Ahli",'LAMPIRAN I DONE'!$F$21="Lektor",'LAMPIRAN I DONE'!$F$21="Lektor Kepala",'LAMPIRAN I DONE'!$F$21="Guru Besar"),0.5,""))&amp;" = "&amp;(((I84*J84)-(10-SUMPRODUCT($I$80:I83,$J$80:J83)))*IF('LAMPIRAN I DONE'!$F$21="Tenaga Pengajar",0.25,IF(OR('LAMPIRAN I DONE'!$F$21="Asisten Ahli",'LAMPIRAN I DONE'!$F$21="Lektor",'LAMPIRAN I DONE'!$F$21="Lektor Kepala",'LAMPIRAN I DONE'!$F$21="Guru Besar"),0.5,""))))),(I84&amp;" x "&amp;J84&amp;" x "&amp;(IF(OR(AND(L84="sks&gt;10",L83="sks&gt;10"),AND(L84="sks&gt;10",L83="sks&lt;=10")),IF('LAMPIRAN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Besar"),1,""))))&amp;" = "&amp;K84))),"rumus")</f>
        <v>rumus</v>
      </c>
      <c r="H84" s="28" t="s">
        <v>620</v>
      </c>
      <c r="I84" s="34"/>
      <c r="J84" s="34"/>
      <c r="K84" s="27" t="str">
        <f>IF(AND(I84&lt;&gt;"",J84&lt;&gt;""),(IF(OR(AND(L84="sks&gt;10",L83="sks&lt;=10",IFERROR(SUMPRODUCT($I$80:I83,$J$80:J83)&lt;10,FALSE)),AND(L84="sks&gt;10",L83="")),(((10-SUMPRODUCT($I$80:I83,$J$80:J83))*IF('LAMPIRAN I DONE'!$F$21="Tenaga Pengajar",0.5,IF(OR('LAMPIRAN I DONE'!$F$21="Asisten Ahli",'LAMPIRAN I DONE'!$F$21="Lektor",'LAMPIRAN I DONE'!$F$21="Lektor Kepala",'LAMPIRAN I DONE'!$F$21="Guru Besar"),1,"")))+(((I84*J84)-(10-SUMPRODUCT($I$80:I83,$J$80:J83)))*IF('LAMPIRAN I DONE'!$F$21="Tenaga Pengajar",0.25,IF(OR('LAMPIRAN I DONE'!$F$21="Asisten Ahli",'LAMPIRAN I DONE'!$F$21="Lektor",'LAMPIRAN I DONE'!$F$21="Lektor Kepala",'LAMPIRAN I DONE'!$F$21="Guru Besar"),0.5,"")))),IF(OR(AND(L84="sks&gt;10",L83="sks&gt;10"),AND(L84="sks&gt;10",L83="sks&lt;=10")),I84*J84*IF('LAMPIRAN I DONE'!$F$21="Tenaga Pengajar",0.25,IF(OR('LAMPIRAN I DONE'!$F$21="Asisten Ahli",'LAMPIRAN I DONE'!$F$21="Lektor",'LAMPIRAN I DONE'!$F$21="Lektor Kepala",'LAMPIRAN I DONE'!$F$21="Guru Besar"),0.5,"")),I84*J84*IF('LAMPIRAN I DONE'!$F$21="Tenaga Pengajar",0.5,IF(OR('LAMPIRAN I DONE'!$F$21="Asisten Ahli",'LAMPIRAN I DONE'!$F$21="Lektor",'LAMPIRAN I DONE'!$F$21="Lektor Kepala",'LAMPIRAN I DONE'!$F$21="Guru Besar"),1,""))))),"rumus")</f>
        <v>rumus</v>
      </c>
      <c r="L84" s="27" t="str">
        <f>IF(AND(I84&lt;&gt;"",J84&lt;&gt;""),(IF(SUMPRODUCT($I$81:I84,$J$81:J84)&lt;=10,"SKS&lt;=10",IF(SUMPRODUCT($I$81:I84,$J$81:J84)&gt;10,"SKS&gt;10",""))),"rumus")</f>
        <v>rumus</v>
      </c>
    </row>
    <row r="85" spans="1:14" s="2" customFormat="1" ht="25.5" hidden="1" customHeight="1" x14ac:dyDescent="0.45">
      <c r="A85" s="67">
        <v>5</v>
      </c>
      <c r="B85" s="163" t="s">
        <v>81</v>
      </c>
      <c r="C85" s="28" t="s">
        <v>114</v>
      </c>
      <c r="D85" s="28" t="str">
        <f t="shared" si="13"/>
        <v/>
      </c>
      <c r="E85" s="256" t="str">
        <f>IF(K85&lt;&gt;"rumus",(IF(OR(AND(L85="sks&gt;10",L84="sks&lt;=10",IFERROR(SUMPRODUCT($I$80:I84,$J$80:J84)&lt;10,FALSE)),AND(L85="sks&gt;10",L84="")),(((10-SUMPRODUCT($I$80:I84,$J$80:J84))&amp;" x "&amp;1)&amp;"
"&amp;(((I85*J85)-(10-SUMPRODUCT($I$80:I84,$J$80:J84)))&amp;" x "&amp;1)),(I85&amp;" x "&amp;J85))),"")</f>
        <v/>
      </c>
      <c r="F85" s="256" t="str">
        <f>IF(K85&lt;&gt;"rumus",(IF(OR(AND(L85="sks&gt;10",L84="sks&lt;=10",IFERROR(SUMPRODUCT($I$80:I84,$J$80:J84)&lt;10,FALSE)),AND(L85="sks&gt;10",L84="")),((IF('LAMPIRAN I DONE'!$F$21="Tenaga Pengajar",0.5,IF(OR('LAMPIRAN I DONE'!$F$21="Asisten Ahli",'LAMPIRAN I DONE'!$F$21="Lektor",'LAMPIRAN I DONE'!$F$21="Lektor Kepala",'LAMPIRAN I DONE'!$F$21="Guru Besar"),1,"")))&amp;"
"&amp;(IF('LAMPIRAN I DONE'!$F$21="Tenaga Pengajar",0.25,IF(OR('LAMPIRAN I DONE'!$F$21="Asisten Ahli",'LAMPIRAN I DONE'!$F$21="Lektor",'LAMPIRAN I DONE'!$F$21="Lektor Kepala",'LAMPIRAN I DONE'!$F$21="Guru Besar"),0.5,"")))),((IF(OR(AND(L85="sks&gt;10",L84="sks&gt;10"),AND(L85="sks&gt;10",L84="sks&lt;=10")),IF('LAMPIRAN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f>
        <v/>
      </c>
      <c r="G85" s="105" t="str">
        <f>IF(K85&lt;&gt;"rumus",(IF(OR(AND(L85="sks&gt;10",L84="sks&lt;=10",IFERROR(SUMPRODUCT($I$80:I84,$J$80:J84)&lt;10,FALSE)),AND(L85="sks&gt;10",L84="")),(((10-SUMPRODUCT($I$80:I84,$J$80:J84))&amp;" x "&amp;1&amp;" x "&amp;IF('LAMPIRAN I DONE'!$F$21="Tenaga Pengajar",0.5,IF(OR('LAMPIRAN I DONE'!$F$21="Asisten Ahli",'LAMPIRAN I DONE'!$F$21="Lektor",'LAMPIRAN I DONE'!$F$21="Lektor Kepala",'LAMPIRAN I DONE'!$F$21="Guru Besar"),1,""))&amp;" = "&amp;((10-SUMPRODUCT($I$80:I84,$J$80:J84))*IF('LAMPIRAN I DONE'!$F$21="Tenaga Pengajar",0.5,IF(OR('LAMPIRAN I DONE'!$F$21="Asisten Ahli",'LAMPIRAN I DONE'!$F$21="Lektor",'LAMPIRAN I DONE'!$F$21="Lektor Kepala",'LAMPIRAN I DONE'!$F$21="Guru Besar"),1,""))))&amp;"
"&amp;(((I85*J85)-(10-SUMPRODUCT($I$80:I84,$J$80:J84)))&amp;" x "&amp;1&amp;" x "&amp;IF('LAMPIRAN I DONE'!$F$21="Tenaga Pengajar",0.25,IF(OR('LAMPIRAN I DONE'!$F$21="Asisten Ahli",'LAMPIRAN I DONE'!$F$21="Lektor",'LAMPIRAN I DONE'!$F$21="Lektor Kepala",'LAMPIRAN I DONE'!$F$21="Guru Besar"),0.5,""))&amp;" = "&amp;(((I85*J85)-(10-SUMPRODUCT($I$80:I84,$J$80:J84)))*IF('LAMPIRAN I DONE'!$F$21="Tenaga Pengajar",0.25,IF(OR('LAMPIRAN I DONE'!$F$21="Asisten Ahli",'LAMPIRAN I DONE'!$F$21="Lektor",'LAMPIRAN I DONE'!$F$21="Lektor Kepala",'LAMPIRAN I DONE'!$F$21="Guru Besar"),0.5,""))))),(I85&amp;" x "&amp;J85&amp;" x "&amp;(IF(OR(AND(L85="sks&gt;10",L84="sks&gt;10"),AND(L85="sks&gt;10",L84="sks&lt;=10")),IF('LAMPIRAN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Besar"),1,""))))&amp;" = "&amp;K85))),"rumus")</f>
        <v>rumus</v>
      </c>
      <c r="H85" s="28" t="s">
        <v>620</v>
      </c>
      <c r="I85" s="34"/>
      <c r="J85" s="34"/>
      <c r="K85" s="27" t="str">
        <f>IF(AND(I85&lt;&gt;"",J85&lt;&gt;""),(IF(OR(AND(L85="sks&gt;10",L84="sks&lt;=10",IFERROR(SUMPRODUCT($I$80:I84,$J$80:J84)&lt;10,FALSE)),AND(L85="sks&gt;10",L84="")),(((10-SUMPRODUCT($I$80:I84,$J$80:J84))*IF('LAMPIRAN I DONE'!$F$21="Tenaga Pengajar",0.5,IF(OR('LAMPIRAN I DONE'!$F$21="Asisten Ahli",'LAMPIRAN I DONE'!$F$21="Lektor",'LAMPIRAN I DONE'!$F$21="Lektor Kepala",'LAMPIRAN I DONE'!$F$21="Guru Besar"),1,"")))+(((I85*J85)-(10-SUMPRODUCT($I$80:I84,$J$80:J84)))*IF('LAMPIRAN I DONE'!$F$21="Tenaga Pengajar",0.25,IF(OR('LAMPIRAN I DONE'!$F$21="Asisten Ahli",'LAMPIRAN I DONE'!$F$21="Lektor",'LAMPIRAN I DONE'!$F$21="Lektor Kepala",'LAMPIRAN I DONE'!$F$21="Guru Besar"),0.5,"")))),IF(OR(AND(L85="sks&gt;10",L84="sks&gt;10"),AND(L85="sks&gt;10",L84="sks&lt;=10")),I85*J85*IF('LAMPIRAN I DONE'!$F$21="Tenaga Pengajar",0.25,IF(OR('LAMPIRAN I DONE'!$F$21="Asisten Ahli",'LAMPIRAN I DONE'!$F$21="Lektor",'LAMPIRAN I DONE'!$F$21="Lektor Kepala",'LAMPIRAN I DONE'!$F$21="Guru Besar"),0.5,"")),I85*J85*IF('LAMPIRAN I DONE'!$F$21="Tenaga Pengajar",0.5,IF(OR('LAMPIRAN I DONE'!$F$21="Asisten Ahli",'LAMPIRAN I DONE'!$F$21="Lektor",'LAMPIRAN I DONE'!$F$21="Lektor Kepala",'LAMPIRAN I DONE'!$F$21="Guru Besar"),1,""))))),"rumus")</f>
        <v>rumus</v>
      </c>
      <c r="L85" s="27" t="str">
        <f>IF(AND(I85&lt;&gt;"",J85&lt;&gt;""),(IF(SUMPRODUCT($I$81:I85,$J$81:J85)&lt;=10,"SKS&lt;=10",IF(SUMPRODUCT($I$81:I85,$J$81:J85)&gt;10,"SKS&gt;10",""))),"rumus")</f>
        <v>rumus</v>
      </c>
    </row>
    <row r="86" spans="1:14" s="2" customFormat="1" ht="25.5" hidden="1" customHeight="1" x14ac:dyDescent="0.45">
      <c r="A86" s="67">
        <v>6</v>
      </c>
      <c r="B86" s="163" t="s">
        <v>81</v>
      </c>
      <c r="C86" s="28" t="s">
        <v>114</v>
      </c>
      <c r="D86" s="28" t="str">
        <f t="shared" si="13"/>
        <v/>
      </c>
      <c r="E86" s="256" t="str">
        <f>IF(K86&lt;&gt;"rumus",(IF(OR(AND(L86="sks&gt;10",L85="sks&lt;=10",IFERROR(SUMPRODUCT($I$80:I85,$J$80:J85)&lt;10,FALSE)),AND(L86="sks&gt;10",L85="")),(((10-SUMPRODUCT($I$80:I85,$J$80:J85))&amp;" x "&amp;1)&amp;"
"&amp;(((I86*J86)-(10-SUMPRODUCT($I$80:I85,$J$80:J85)))&amp;" x "&amp;1)),(I86&amp;" x "&amp;J86))),"")</f>
        <v/>
      </c>
      <c r="F86" s="256" t="str">
        <f>IF(K86&lt;&gt;"rumus",(IF(OR(AND(L86="sks&gt;10",L85="sks&lt;=10",IFERROR(SUMPRODUCT($I$80:I85,$J$80:J85)&lt;10,FALSE)),AND(L86="sks&gt;10",L85="")),((IF('LAMPIRAN I DONE'!$F$21="Tenaga Pengajar",0.5,IF(OR('LAMPIRAN I DONE'!$F$21="Asisten Ahli",'LAMPIRAN I DONE'!$F$21="Lektor",'LAMPIRAN I DONE'!$F$21="Lektor Kepala",'LAMPIRAN I DONE'!$F$21="Guru Besar"),1,"")))&amp;"
"&amp;(IF('LAMPIRAN I DONE'!$F$21="Tenaga Pengajar",0.25,IF(OR('LAMPIRAN I DONE'!$F$21="Asisten Ahli",'LAMPIRAN I DONE'!$F$21="Lektor",'LAMPIRAN I DONE'!$F$21="Lektor Kepala",'LAMPIRAN I DONE'!$F$21="Guru Besar"),0.5,"")))),((IF(OR(AND(L86="sks&gt;10",L85="sks&gt;10"),AND(L86="sks&gt;10",L85="sks&lt;=10")),IF('LAMPIRAN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f>
        <v/>
      </c>
      <c r="G86" s="105" t="str">
        <f>IF(K86&lt;&gt;"rumus",(IF(OR(AND(L86="sks&gt;10",L85="sks&lt;=10",IFERROR(SUMPRODUCT($I$80:I85,$J$80:J85)&lt;10,FALSE)),AND(L86="sks&gt;10",L85="")),(((10-SUMPRODUCT($I$80:I85,$J$80:J85))&amp;" x "&amp;1&amp;" x "&amp;IF('LAMPIRAN I DONE'!$F$21="Tenaga Pengajar",0.5,IF(OR('LAMPIRAN I DONE'!$F$21="Asisten Ahli",'LAMPIRAN I DONE'!$F$21="Lektor",'LAMPIRAN I DONE'!$F$21="Lektor Kepala",'LAMPIRAN I DONE'!$F$21="Guru Besar"),1,""))&amp;" = "&amp;((10-SUMPRODUCT($I$80:I85,$J$80:J85))*IF('LAMPIRAN I DONE'!$F$21="Tenaga Pengajar",0.5,IF(OR('LAMPIRAN I DONE'!$F$21="Asisten Ahli",'LAMPIRAN I DONE'!$F$21="Lektor",'LAMPIRAN I DONE'!$F$21="Lektor Kepala",'LAMPIRAN I DONE'!$F$21="Guru Besar"),1,""))))&amp;"
"&amp;(((I86*J86)-(10-SUMPRODUCT($I$80:I85,$J$80:J85)))&amp;" x "&amp;1&amp;" x "&amp;IF('LAMPIRAN I DONE'!$F$21="Tenaga Pengajar",0.25,IF(OR('LAMPIRAN I DONE'!$F$21="Asisten Ahli",'LAMPIRAN I DONE'!$F$21="Lektor",'LAMPIRAN I DONE'!$F$21="Lektor Kepala",'LAMPIRAN I DONE'!$F$21="Guru Besar"),0.5,""))&amp;" = "&amp;(((I86*J86)-(10-SUMPRODUCT($I$80:I85,$J$80:J85)))*IF('LAMPIRAN I DONE'!$F$21="Tenaga Pengajar",0.25,IF(OR('LAMPIRAN I DONE'!$F$21="Asisten Ahli",'LAMPIRAN I DONE'!$F$21="Lektor",'LAMPIRAN I DONE'!$F$21="Lektor Kepala",'LAMPIRAN I DONE'!$F$21="Guru Besar"),0.5,""))))),(I86&amp;" x "&amp;J86&amp;" x "&amp;(IF(OR(AND(L86="sks&gt;10",L85="sks&gt;10"),AND(L86="sks&gt;10",L85="sks&lt;=10")),IF('LAMPIRAN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Besar"),1,""))))&amp;" = "&amp;K86))),"rumus")</f>
        <v>rumus</v>
      </c>
      <c r="H86" s="28" t="s">
        <v>620</v>
      </c>
      <c r="I86" s="34"/>
      <c r="J86" s="34"/>
      <c r="K86" s="27" t="str">
        <f>IF(AND(I86&lt;&gt;"",J86&lt;&gt;""),(IF(OR(AND(L86="sks&gt;10",L85="sks&lt;=10",IFERROR(SUMPRODUCT($I$80:I85,$J$80:J85)&lt;10,FALSE)),AND(L86="sks&gt;10",L85="")),(((10-SUMPRODUCT($I$80:I85,$J$80:J85))*IF('LAMPIRAN I DONE'!$F$21="Tenaga Pengajar",0.5,IF(OR('LAMPIRAN I DONE'!$F$21="Asisten Ahli",'LAMPIRAN I DONE'!$F$21="Lektor",'LAMPIRAN I DONE'!$F$21="Lektor Kepala",'LAMPIRAN I DONE'!$F$21="Guru Besar"),1,"")))+(((I86*J86)-(10-SUMPRODUCT($I$80:I85,$J$80:J85)))*IF('LAMPIRAN I DONE'!$F$21="Tenaga Pengajar",0.25,IF(OR('LAMPIRAN I DONE'!$F$21="Asisten Ahli",'LAMPIRAN I DONE'!$F$21="Lektor",'LAMPIRAN I DONE'!$F$21="Lektor Kepala",'LAMPIRAN I DONE'!$F$21="Guru Besar"),0.5,"")))),IF(OR(AND(L86="sks&gt;10",L85="sks&gt;10"),AND(L86="sks&gt;10",L85="sks&lt;=10")),I86*J86*IF('LAMPIRAN I DONE'!$F$21="Tenaga Pengajar",0.25,IF(OR('LAMPIRAN I DONE'!$F$21="Asisten Ahli",'LAMPIRAN I DONE'!$F$21="Lektor",'LAMPIRAN I DONE'!$F$21="Lektor Kepala",'LAMPIRAN I DONE'!$F$21="Guru Besar"),0.5,"")),I86*J86*IF('LAMPIRAN I DONE'!$F$21="Tenaga Pengajar",0.5,IF(OR('LAMPIRAN I DONE'!$F$21="Asisten Ahli",'LAMPIRAN I DONE'!$F$21="Lektor",'LAMPIRAN I DONE'!$F$21="Lektor Kepala",'LAMPIRAN I DONE'!$F$21="Guru Besar"),1,""))))),"rumus")</f>
        <v>rumus</v>
      </c>
      <c r="L86" s="27" t="str">
        <f>IF(AND(I86&lt;&gt;"",J86&lt;&gt;""),(IF(SUMPRODUCT($I$81:I86,$J$81:J86)&lt;=10,"SKS&lt;=10",IF(SUMPRODUCT($I$81:I86,$J$81:J86)&gt;10,"SKS&gt;10",""))),"rumus")</f>
        <v>rumus</v>
      </c>
    </row>
    <row r="87" spans="1:14" s="2" customFormat="1" ht="15" hidden="1" customHeight="1" x14ac:dyDescent="0.45">
      <c r="A87" s="67"/>
      <c r="B87" s="168" t="str">
        <f>"a. Semester Gasal "&amp;IF(C88&lt;&gt;"",C88,"")&amp;" :"</f>
        <v>a. Semester Gasal 2014/2015 :</v>
      </c>
      <c r="C87" s="30"/>
      <c r="D87" s="30"/>
      <c r="E87" s="30"/>
      <c r="F87" s="30"/>
      <c r="G87" s="30"/>
      <c r="H87" s="54"/>
      <c r="I87" s="496"/>
      <c r="J87" s="496"/>
      <c r="M87" s="104">
        <f>IF((AND(N87="Max 5,5",SUM(K81:K86)&lt;=5.5)),SUM(K81:K86),IF((AND(N87="Max 5,5",SUM(K81:K86)&gt;5.5)),5.5,IF((AND(N87="Max 11",SUM(K81:K86)&lt;=11)),SUM(K81:K86),IF((AND(N87="Max 11",SUM(K81:K86)&gt;11)),11,""))))</f>
        <v>0</v>
      </c>
      <c r="N87" s="33" t="str">
        <f>IF('LAMPIRAN I DONE'!$F$21="Tenaga Pengajar","Max 5,5",IF(OR('LAMPIRAN I DONE'!$F$21="Asisten Ahli",'LAMPIRAN I DONE'!$F$21="Lektor",'LAMPIRAN I DONE'!$F$21="Lektor Kepala",'LAMPIRAN I DONE'!$F$21="Guru Besar"),"Max 11",""))</f>
        <v>Max 11</v>
      </c>
    </row>
    <row r="88" spans="1:14" s="2" customFormat="1" ht="25.5" hidden="1" customHeight="1" x14ac:dyDescent="0.45">
      <c r="A88" s="67">
        <v>1</v>
      </c>
      <c r="B88" s="163" t="s">
        <v>81</v>
      </c>
      <c r="C88" s="28" t="s">
        <v>251</v>
      </c>
      <c r="D88" s="28" t="str">
        <f>IF(G88&lt;&gt;"rumus","SKS","")</f>
        <v/>
      </c>
      <c r="E88" s="256" t="str">
        <f>IF(K88&lt;&gt;"rumus",(IF(OR(AND(L88="sks&gt;10",L87="sks&lt;=10",IFERROR(SUMPRODUCT($I$87:I87,$J$87:J87)&lt;10,FALSE)),AND(L88="sks&gt;10",L87="")),(((10-SUMPRODUCT($I$87:I87,$J$87:J87))&amp;" x "&amp;1)&amp;"
"&amp;(((I88*J88)-(10-SUMPRODUCT($I$87:I87,$J$87:J87)))&amp;" x "&amp;1)),(I88&amp;" x "&amp;J88))),"")</f>
        <v/>
      </c>
      <c r="F88" s="256" t="str">
        <f>IF(K88&lt;&gt;"rumus",(IF(OR(AND(L88="sks&gt;10",L87="sks&lt;=10",IFERROR(SUMPRODUCT($I$87:I87,$J$87:J87)&lt;10,FALSE)),AND(L88="sks&gt;10",L87="")),((IF('LAMPIRAN I DONE'!$F$21="Tenaga Pengajar",0.5,IF(OR('LAMPIRAN I DONE'!$F$21="Asisten Ahli",'LAMPIRAN I DONE'!$F$21="Lektor",'LAMPIRAN I DONE'!$F$21="Lektor Kepala",'LAMPIRAN I DONE'!$F$21="Guru Besar"),1,"")))&amp;"
"&amp;(IF('LAMPIRAN I DONE'!$F$21="Tenaga Pengajar",0.25,IF(OR('LAMPIRAN I DONE'!$F$21="Asisten Ahli",'LAMPIRAN I DONE'!$F$21="Lektor",'LAMPIRAN I DONE'!$F$21="Lektor Kepala",'LAMPIRAN I DONE'!$F$21="Guru Besar"),0.5,"")))),((IF(OR(AND(L88="sks&gt;10",L87="sks&gt;10"),AND(L88="sks&gt;10",L87="sks&lt;=10")),IF('LAMPIRAN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f>
        <v/>
      </c>
      <c r="G88" s="105" t="str">
        <f>IF(K88&lt;&gt;"rumus",(IF(OR(AND(L88="sks&gt;10",L87="sks&lt;=10",IFERROR(SUMPRODUCT($I$87:I87,$J$87:J87)&lt;10,FALSE)),AND(L88="sks&gt;10",L87="")),(((10-SUMPRODUCT($I$87:I87,$J$87:J87))&amp;" x "&amp;1&amp;" x "&amp;IF('LAMPIRAN I DONE'!$F$21="Tenaga Pengajar",0.5,IF(OR('LAMPIRAN I DONE'!$F$21="Asisten Ahli",'LAMPIRAN I DONE'!$F$21="Lektor",'LAMPIRAN I DONE'!$F$21="Lektor Kepala",'LAMPIRAN I DONE'!$F$21="Guru Besar"),1,""))&amp;" = "&amp;((10-SUMPRODUCT($I$87:I87,$J$87:J87))*IF('LAMPIRAN I DONE'!$F$21="Tenaga Pengajar",0.5,IF(OR('LAMPIRAN I DONE'!$F$21="Asisten Ahli",'LAMPIRAN I DONE'!$F$21="Lektor",'LAMPIRAN I DONE'!$F$21="Lektor Kepala",'LAMPIRAN I DONE'!$F$21="Guru Besar"),1,""))))&amp;"
"&amp;(((I88*J88)-(10-SUMPRODUCT($I$87:I87,$J$87:J87)))&amp;" x "&amp;1&amp;" x "&amp;IF('LAMPIRAN I DONE'!$F$21="Tenaga Pengajar",0.25,IF(OR('LAMPIRAN I DONE'!$F$21="Asisten Ahli",'LAMPIRAN I DONE'!$F$21="Lektor",'LAMPIRAN I DONE'!$F$21="Lektor Kepala",'LAMPIRAN I DONE'!$F$21="Guru Besar"),0.5,""))&amp;" = "&amp;(((I88*J88)-(10-SUMPRODUCT($I$87:I87,$J$87:J87)))*IF('LAMPIRAN I DONE'!$F$21="Tenaga Pengajar",0.25,IF(OR('LAMPIRAN I DONE'!$F$21="Asisten Ahli",'LAMPIRAN I DONE'!$F$21="Lektor",'LAMPIRAN I DONE'!$F$21="Lektor Kepala",'LAMPIRAN I DONE'!$F$21="Guru Besar"),0.5,""))))),(I88&amp;" x "&amp;J88&amp;" x "&amp;(IF(OR(AND(L88="sks&gt;10",L87="sks&gt;10"),AND(L88="sks&gt;10",L87="sks&lt;=10")),IF('LAMPIRAN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Besar"),1,""))))&amp;" = "&amp;K88))),"rumus")</f>
        <v>rumus</v>
      </c>
      <c r="H88" s="28" t="s">
        <v>620</v>
      </c>
      <c r="I88" s="34"/>
      <c r="J88" s="34"/>
      <c r="K88" s="27" t="str">
        <f>IF(AND(I88&lt;&gt;"",J88&lt;&gt;""),(IF(OR(AND(L88="sks&gt;10",L87="sks&lt;=10",IFERROR(SUMPRODUCT($I$87:I87,$J$87:J87)&lt;10,FALSE)),AND(L88="sks&gt;10",L87="")),(((10-SUMPRODUCT($I$87:I87,$J$87:J87))*IF('LAMPIRAN I DONE'!$F$21="Tenaga Pengajar",0.5,IF(OR('LAMPIRAN I DONE'!$F$21="Asisten Ahli",'LAMPIRAN I DONE'!$F$21="Lektor",'LAMPIRAN I DONE'!$F$21="Lektor Kepala",'LAMPIRAN I DONE'!$F$21="Guru Besar"),1,"")))+(((I88*J88)-(10-SUMPRODUCT($I$87:I87,$J$87:J87)))*IF('LAMPIRAN I DONE'!$F$21="Tenaga Pengajar",0.25,IF(OR('LAMPIRAN I DONE'!$F$21="Asisten Ahli",'LAMPIRAN I DONE'!$F$21="Lektor",'LAMPIRAN I DONE'!$F$21="Lektor Kepala",'LAMPIRAN I DONE'!$F$21="Guru Besar"),0.5,"")))),IF(OR(AND(L88="sks&gt;10",L87="sks&gt;10"),AND(L88="sks&gt;10",L87="sks&lt;=10")),I88*J88*IF('LAMPIRAN I DONE'!$F$21="Tenaga Pengajar",0.25,IF(OR('LAMPIRAN I DONE'!$F$21="Asisten Ahli",'LAMPIRAN I DONE'!$F$21="Lektor",'LAMPIRAN I DONE'!$F$21="Lektor Kepala",'LAMPIRAN I DONE'!$F$21="Guru Besar"),0.5,"")),I88*J88*IF('LAMPIRAN I DONE'!$F$21="Tenaga Pengajar",0.5,IF(OR('LAMPIRAN I DONE'!$F$21="Asisten Ahli",'LAMPIRAN I DONE'!$F$21="Lektor",'LAMPIRAN I DONE'!$F$21="Lektor Kepala",'LAMPIRAN I DONE'!$F$21="Guru Besar"),1,""))))),"rumus")</f>
        <v>rumus</v>
      </c>
      <c r="L88" s="27" t="str">
        <f>IF(AND(I88&lt;&gt;"",J88&lt;&gt;""),(IF(SUMPRODUCT($I$88:I88,$J$88:J88)&lt;=10,"SKS&lt;=10",IF(SUMPRODUCT($I$88:I88,$J$88:J88)&gt;10,"SKS&gt;10",""))),"rumus")</f>
        <v>rumus</v>
      </c>
    </row>
    <row r="89" spans="1:14" s="2" customFormat="1" ht="25.5" hidden="1" customHeight="1" x14ac:dyDescent="0.45">
      <c r="A89" s="67">
        <v>2</v>
      </c>
      <c r="B89" s="163" t="s">
        <v>81</v>
      </c>
      <c r="C89" s="28" t="s">
        <v>251</v>
      </c>
      <c r="D89" s="28" t="str">
        <f t="shared" ref="D89:D93" si="14">IF(G89&lt;&gt;"rumus","SKS","")</f>
        <v/>
      </c>
      <c r="E89" s="256" t="str">
        <f>IF(K89&lt;&gt;"rumus",(IF(OR(AND(L89="sks&gt;10",L88="sks&lt;=10",IFERROR(SUMPRODUCT($I$87:I88,$J$87:J88)&lt;10,FALSE)),AND(L89="sks&gt;10",L88="")),(((10-SUMPRODUCT($I$87:I88,$J$87:J88))&amp;" x "&amp;1)&amp;"
"&amp;(((I89*J89)-(10-SUMPRODUCT($I$87:I88,$J$87:J88)))&amp;" x "&amp;1)),(I89&amp;" x "&amp;J89))),"")</f>
        <v/>
      </c>
      <c r="F89" s="256" t="str">
        <f>IF(K89&lt;&gt;"rumus",(IF(OR(AND(L89="sks&gt;10",L88="sks&lt;=10",IFERROR(SUMPRODUCT($I$87:I88,$J$87:J88)&lt;10,FALSE)),AND(L89="sks&gt;10",L88="")),((IF('LAMPIRAN I DONE'!$F$21="Tenaga Pengajar",0.5,IF(OR('LAMPIRAN I DONE'!$F$21="Asisten Ahli",'LAMPIRAN I DONE'!$F$21="Lektor",'LAMPIRAN I DONE'!$F$21="Lektor Kepala",'LAMPIRAN I DONE'!$F$21="Guru Besar"),1,"")))&amp;"
"&amp;(IF('LAMPIRAN I DONE'!$F$21="Tenaga Pengajar",0.25,IF(OR('LAMPIRAN I DONE'!$F$21="Asisten Ahli",'LAMPIRAN I DONE'!$F$21="Lektor",'LAMPIRAN I DONE'!$F$21="Lektor Kepala",'LAMPIRAN I DONE'!$F$21="Guru Besar"),0.5,"")))),((IF(OR(AND(L89="sks&gt;10",L88="sks&gt;10"),AND(L89="sks&gt;10",L88="sks&lt;=10")),IF('LAMPIRAN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f>
        <v/>
      </c>
      <c r="G89" s="105" t="str">
        <f>IF(K89&lt;&gt;"rumus",(IF(OR(AND(L89="sks&gt;10",L88="sks&lt;=10",IFERROR(SUMPRODUCT($I$87:I88,$J$87:J88)&lt;10,FALSE)),AND(L89="sks&gt;10",L88="")),(((10-SUMPRODUCT($I$87:I88,$J$87:J88))&amp;" x "&amp;1&amp;" x "&amp;IF('LAMPIRAN I DONE'!$F$21="Tenaga Pengajar",0.5,IF(OR('LAMPIRAN I DONE'!$F$21="Asisten Ahli",'LAMPIRAN I DONE'!$F$21="Lektor",'LAMPIRAN I DONE'!$F$21="Lektor Kepala",'LAMPIRAN I DONE'!$F$21="Guru Besar"),1,""))&amp;" = "&amp;((10-SUMPRODUCT($I$87:I88,$J$87:J88))*IF('LAMPIRAN I DONE'!$F$21="Tenaga Pengajar",0.5,IF(OR('LAMPIRAN I DONE'!$F$21="Asisten Ahli",'LAMPIRAN I DONE'!$F$21="Lektor",'LAMPIRAN I DONE'!$F$21="Lektor Kepala",'LAMPIRAN I DONE'!$F$21="Guru Besar"),1,""))))&amp;"
"&amp;(((I89*J89)-(10-SUMPRODUCT($I$87:I88,$J$87:J88)))&amp;" x "&amp;1&amp;" x "&amp;IF('LAMPIRAN I DONE'!$F$21="Tenaga Pengajar",0.25,IF(OR('LAMPIRAN I DONE'!$F$21="Asisten Ahli",'LAMPIRAN I DONE'!$F$21="Lektor",'LAMPIRAN I DONE'!$F$21="Lektor Kepala",'LAMPIRAN I DONE'!$F$21="Guru Besar"),0.5,""))&amp;" = "&amp;(((I89*J89)-(10-SUMPRODUCT($I$87:I88,$J$87:J88)))*IF('LAMPIRAN I DONE'!$F$21="Tenaga Pengajar",0.25,IF(OR('LAMPIRAN I DONE'!$F$21="Asisten Ahli",'LAMPIRAN I DONE'!$F$21="Lektor",'LAMPIRAN I DONE'!$F$21="Lektor Kepala",'LAMPIRAN I DONE'!$F$21="Guru Besar"),0.5,""))))),(I89&amp;" x "&amp;J89&amp;" x "&amp;(IF(OR(AND(L89="sks&gt;10",L88="sks&gt;10"),AND(L89="sks&gt;10",L88="sks&lt;=10")),IF('LAMPIRAN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Besar"),1,""))))&amp;" = "&amp;K89))),"rumus")</f>
        <v>rumus</v>
      </c>
      <c r="H89" s="28" t="s">
        <v>620</v>
      </c>
      <c r="I89" s="34"/>
      <c r="J89" s="34"/>
      <c r="K89" s="27" t="str">
        <f>IF(AND(I89&lt;&gt;"",J89&lt;&gt;""),(IF(OR(AND(L89="sks&gt;10",L88="sks&lt;=10",IFERROR(SUMPRODUCT($I$87:I88,$J$87:J88)&lt;10,FALSE)),AND(L89="sks&gt;10",L88="")),(((10-SUMPRODUCT($I$87:I88,$J$87:J88))*IF('LAMPIRAN I DONE'!$F$21="Tenaga Pengajar",0.5,IF(OR('LAMPIRAN I DONE'!$F$21="Asisten Ahli",'LAMPIRAN I DONE'!$F$21="Lektor",'LAMPIRAN I DONE'!$F$21="Lektor Kepala",'LAMPIRAN I DONE'!$F$21="Guru Besar"),1,"")))+(((I89*J89)-(10-SUMPRODUCT($I$87:I88,$J$87:J88)))*IF('LAMPIRAN I DONE'!$F$21="Tenaga Pengajar",0.25,IF(OR('LAMPIRAN I DONE'!$F$21="Asisten Ahli",'LAMPIRAN I DONE'!$F$21="Lektor",'LAMPIRAN I DONE'!$F$21="Lektor Kepala",'LAMPIRAN I DONE'!$F$21="Guru Besar"),0.5,"")))),IF(OR(AND(L89="sks&gt;10",L88="sks&gt;10"),AND(L89="sks&gt;10",L88="sks&lt;=10")),I89*J89*IF('LAMPIRAN I DONE'!$F$21="Tenaga Pengajar",0.25,IF(OR('LAMPIRAN I DONE'!$F$21="Asisten Ahli",'LAMPIRAN I DONE'!$F$21="Lektor",'LAMPIRAN I DONE'!$F$21="Lektor Kepala",'LAMPIRAN I DONE'!$F$21="Guru Besar"),0.5,"")),I89*J89*IF('LAMPIRAN I DONE'!$F$21="Tenaga Pengajar",0.5,IF(OR('LAMPIRAN I DONE'!$F$21="Asisten Ahli",'LAMPIRAN I DONE'!$F$21="Lektor",'LAMPIRAN I DONE'!$F$21="Lektor Kepala",'LAMPIRAN I DONE'!$F$21="Guru Besar"),1,""))))),"rumus")</f>
        <v>rumus</v>
      </c>
      <c r="L89" s="27" t="str">
        <f>IF(AND(I89&lt;&gt;"",J89&lt;&gt;""),(IF(SUMPRODUCT($I$88:I89,$J$88:J89)&lt;=10,"SKS&lt;=10",IF(SUMPRODUCT($I$88:I89,$J$88:J89)&gt;10,"SKS&gt;10",""))),"rumus")</f>
        <v>rumus</v>
      </c>
    </row>
    <row r="90" spans="1:14" s="2" customFormat="1" ht="25.5" hidden="1" customHeight="1" x14ac:dyDescent="0.45">
      <c r="A90" s="67">
        <v>3</v>
      </c>
      <c r="B90" s="163" t="s">
        <v>81</v>
      </c>
      <c r="C90" s="28" t="s">
        <v>251</v>
      </c>
      <c r="D90" s="28" t="str">
        <f t="shared" si="14"/>
        <v/>
      </c>
      <c r="E90" s="256" t="str">
        <f>IF(K90&lt;&gt;"rumus",(IF(OR(AND(L90="sks&gt;10",L89="sks&lt;=10",IFERROR(SUMPRODUCT($I$87:I89,$J$87:J89)&lt;10,FALSE)),AND(L90="sks&gt;10",L89="")),(((10-SUMPRODUCT($I$87:I89,$J$87:J89))&amp;" x "&amp;1)&amp;"
"&amp;(((I90*J90)-(10-SUMPRODUCT($I$87:I89,$J$87:J89)))&amp;" x "&amp;1)),(I90&amp;" x "&amp;J90))),"")</f>
        <v/>
      </c>
      <c r="F90" s="256" t="str">
        <f>IF(K90&lt;&gt;"rumus",(IF(OR(AND(L90="sks&gt;10",L89="sks&lt;=10",IFERROR(SUMPRODUCT($I$87:I89,$J$87:J89)&lt;10,FALSE)),AND(L90="sks&gt;10",L89="")),((IF('LAMPIRAN I DONE'!$F$21="Tenaga Pengajar",0.5,IF(OR('LAMPIRAN I DONE'!$F$21="Asisten Ahli",'LAMPIRAN I DONE'!$F$21="Lektor",'LAMPIRAN I DONE'!$F$21="Lektor Kepala",'LAMPIRAN I DONE'!$F$21="Guru Besar"),1,"")))&amp;"
"&amp;(IF('LAMPIRAN I DONE'!$F$21="Tenaga Pengajar",0.25,IF(OR('LAMPIRAN I DONE'!$F$21="Asisten Ahli",'LAMPIRAN I DONE'!$F$21="Lektor",'LAMPIRAN I DONE'!$F$21="Lektor Kepala",'LAMPIRAN I DONE'!$F$21="Guru Besar"),0.5,"")))),((IF(OR(AND(L90="sks&gt;10",L89="sks&gt;10"),AND(L90="sks&gt;10",L89="sks&lt;=10")),IF('LAMPIRAN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f>
        <v/>
      </c>
      <c r="G90" s="105" t="str">
        <f>IF(K90&lt;&gt;"rumus",(IF(OR(AND(L90="sks&gt;10",L89="sks&lt;=10",IFERROR(SUMPRODUCT($I$87:I89,$J$87:J89)&lt;10,FALSE)),AND(L90="sks&gt;10",L89="")),(((10-SUMPRODUCT($I$87:I89,$J$87:J89))&amp;" x "&amp;1&amp;" x "&amp;IF('LAMPIRAN I DONE'!$F$21="Tenaga Pengajar",0.5,IF(OR('LAMPIRAN I DONE'!$F$21="Asisten Ahli",'LAMPIRAN I DONE'!$F$21="Lektor",'LAMPIRAN I DONE'!$F$21="Lektor Kepala",'LAMPIRAN I DONE'!$F$21="Guru Besar"),1,""))&amp;" = "&amp;((10-SUMPRODUCT($I$87:I89,$J$87:J89))*IF('LAMPIRAN I DONE'!$F$21="Tenaga Pengajar",0.5,IF(OR('LAMPIRAN I DONE'!$F$21="Asisten Ahli",'LAMPIRAN I DONE'!$F$21="Lektor",'LAMPIRAN I DONE'!$F$21="Lektor Kepala",'LAMPIRAN I DONE'!$F$21="Guru Besar"),1,""))))&amp;"
"&amp;(((I90*J90)-(10-SUMPRODUCT($I$87:I89,$J$87:J89)))&amp;" x "&amp;1&amp;" x "&amp;IF('LAMPIRAN I DONE'!$F$21="Tenaga Pengajar",0.25,IF(OR('LAMPIRAN I DONE'!$F$21="Asisten Ahli",'LAMPIRAN I DONE'!$F$21="Lektor",'LAMPIRAN I DONE'!$F$21="Lektor Kepala",'LAMPIRAN I DONE'!$F$21="Guru Besar"),0.5,""))&amp;" = "&amp;(((I90*J90)-(10-SUMPRODUCT($I$87:I89,$J$87:J89)))*IF('LAMPIRAN I DONE'!$F$21="Tenaga Pengajar",0.25,IF(OR('LAMPIRAN I DONE'!$F$21="Asisten Ahli",'LAMPIRAN I DONE'!$F$21="Lektor",'LAMPIRAN I DONE'!$F$21="Lektor Kepala",'LAMPIRAN I DONE'!$F$21="Guru Besar"),0.5,""))))),(I90&amp;" x "&amp;J90&amp;" x "&amp;(IF(OR(AND(L90="sks&gt;10",L89="sks&gt;10"),AND(L90="sks&gt;10",L89="sks&lt;=10")),IF('LAMPIRAN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Besar"),1,""))))&amp;" = "&amp;K90))),"rumus")</f>
        <v>rumus</v>
      </c>
      <c r="H90" s="28" t="s">
        <v>620</v>
      </c>
      <c r="I90" s="34"/>
      <c r="J90" s="34"/>
      <c r="K90" s="27" t="str">
        <f>IF(AND(I90&lt;&gt;"",J90&lt;&gt;""),(IF(OR(AND(L90="sks&gt;10",L89="sks&lt;=10",IFERROR(SUMPRODUCT($I$87:I89,$J$87:J89)&lt;10,FALSE)),AND(L90="sks&gt;10",L89="")),(((10-SUMPRODUCT($I$87:I89,$J$87:J89))*IF('LAMPIRAN I DONE'!$F$21="Tenaga Pengajar",0.5,IF(OR('LAMPIRAN I DONE'!$F$21="Asisten Ahli",'LAMPIRAN I DONE'!$F$21="Lektor",'LAMPIRAN I DONE'!$F$21="Lektor Kepala",'LAMPIRAN I DONE'!$F$21="Guru Besar"),1,"")))+(((I90*J90)-(10-SUMPRODUCT($I$87:I89,$J$87:J89)))*IF('LAMPIRAN I DONE'!$F$21="Tenaga Pengajar",0.25,IF(OR('LAMPIRAN I DONE'!$F$21="Asisten Ahli",'LAMPIRAN I DONE'!$F$21="Lektor",'LAMPIRAN I DONE'!$F$21="Lektor Kepala",'LAMPIRAN I DONE'!$F$21="Guru Besar"),0.5,"")))),IF(OR(AND(L90="sks&gt;10",L89="sks&gt;10"),AND(L90="sks&gt;10",L89="sks&lt;=10")),I90*J90*IF('LAMPIRAN I DONE'!$F$21="Tenaga Pengajar",0.25,IF(OR('LAMPIRAN I DONE'!$F$21="Asisten Ahli",'LAMPIRAN I DONE'!$F$21="Lektor",'LAMPIRAN I DONE'!$F$21="Lektor Kepala",'LAMPIRAN I DONE'!$F$21="Guru Besar"),0.5,"")),I90*J90*IF('LAMPIRAN I DONE'!$F$21="Tenaga Pengajar",0.5,IF(OR('LAMPIRAN I DONE'!$F$21="Asisten Ahli",'LAMPIRAN I DONE'!$F$21="Lektor",'LAMPIRAN I DONE'!$F$21="Lektor Kepala",'LAMPIRAN I DONE'!$F$21="Guru Besar"),1,""))))),"rumus")</f>
        <v>rumus</v>
      </c>
      <c r="L90" s="27" t="str">
        <f>IF(AND(I90&lt;&gt;"",J90&lt;&gt;""),(IF(SUMPRODUCT($I$88:I90,$J$88:J90)&lt;=10,"SKS&lt;=10",IF(SUMPRODUCT($I$88:I90,$J$88:J90)&gt;10,"SKS&gt;10",""))),"rumus")</f>
        <v>rumus</v>
      </c>
    </row>
    <row r="91" spans="1:14" s="2" customFormat="1" ht="25.5" hidden="1" customHeight="1" x14ac:dyDescent="0.45">
      <c r="A91" s="67">
        <v>4</v>
      </c>
      <c r="B91" s="163" t="s">
        <v>81</v>
      </c>
      <c r="C91" s="28" t="s">
        <v>251</v>
      </c>
      <c r="D91" s="28" t="str">
        <f t="shared" si="14"/>
        <v/>
      </c>
      <c r="E91" s="256" t="str">
        <f>IF(K91&lt;&gt;"rumus",(IF(OR(AND(L91="sks&gt;10",L90="sks&lt;=10",IFERROR(SUMPRODUCT($I$87:I90,$J$87:J90)&lt;10,FALSE)),AND(L91="sks&gt;10",L90="")),(((10-SUMPRODUCT($I$87:I90,$J$87:J90))&amp;" x "&amp;1)&amp;"
"&amp;(((I91*J91)-(10-SUMPRODUCT($I$87:I90,$J$87:J90)))&amp;" x "&amp;1)),(I91&amp;" x "&amp;J91))),"")</f>
        <v/>
      </c>
      <c r="F91" s="256" t="str">
        <f>IF(K91&lt;&gt;"rumus",(IF(OR(AND(L91="sks&gt;10",L90="sks&lt;=10",IFERROR(SUMPRODUCT($I$87:I90,$J$87:J90)&lt;10,FALSE)),AND(L91="sks&gt;10",L90="")),((IF('LAMPIRAN I DONE'!$F$21="Tenaga Pengajar",0.5,IF(OR('LAMPIRAN I DONE'!$F$21="Asisten Ahli",'LAMPIRAN I DONE'!$F$21="Lektor",'LAMPIRAN I DONE'!$F$21="Lektor Kepala",'LAMPIRAN I DONE'!$F$21="Guru Besar"),1,"")))&amp;"
"&amp;(IF('LAMPIRAN I DONE'!$F$21="Tenaga Pengajar",0.25,IF(OR('LAMPIRAN I DONE'!$F$21="Asisten Ahli",'LAMPIRAN I DONE'!$F$21="Lektor",'LAMPIRAN I DONE'!$F$21="Lektor Kepala",'LAMPIRAN I DONE'!$F$21="Guru Besar"),0.5,"")))),((IF(OR(AND(L91="sks&gt;10",L90="sks&gt;10"),AND(L91="sks&gt;10",L90="sks&lt;=10")),IF('LAMPIRAN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f>
        <v/>
      </c>
      <c r="G91" s="105" t="str">
        <f>IF(K91&lt;&gt;"rumus",(IF(OR(AND(L91="sks&gt;10",L90="sks&lt;=10",IFERROR(SUMPRODUCT($I$87:I90,$J$87:J90)&lt;10,FALSE)),AND(L91="sks&gt;10",L90="")),(((10-SUMPRODUCT($I$87:I90,$J$87:J90))&amp;" x "&amp;1&amp;" x "&amp;IF('LAMPIRAN I DONE'!$F$21="Tenaga Pengajar",0.5,IF(OR('LAMPIRAN I DONE'!$F$21="Asisten Ahli",'LAMPIRAN I DONE'!$F$21="Lektor",'LAMPIRAN I DONE'!$F$21="Lektor Kepala",'LAMPIRAN I DONE'!$F$21="Guru Besar"),1,""))&amp;" = "&amp;((10-SUMPRODUCT($I$87:I90,$J$87:J90))*IF('LAMPIRAN I DONE'!$F$21="Tenaga Pengajar",0.5,IF(OR('LAMPIRAN I DONE'!$F$21="Asisten Ahli",'LAMPIRAN I DONE'!$F$21="Lektor",'LAMPIRAN I DONE'!$F$21="Lektor Kepala",'LAMPIRAN I DONE'!$F$21="Guru Besar"),1,""))))&amp;"
"&amp;(((I91*J91)-(10-SUMPRODUCT($I$87:I90,$J$87:J90)))&amp;" x "&amp;1&amp;" x "&amp;IF('LAMPIRAN I DONE'!$F$21="Tenaga Pengajar",0.25,IF(OR('LAMPIRAN I DONE'!$F$21="Asisten Ahli",'LAMPIRAN I DONE'!$F$21="Lektor",'LAMPIRAN I DONE'!$F$21="Lektor Kepala",'LAMPIRAN I DONE'!$F$21="Guru Besar"),0.5,""))&amp;" = "&amp;(((I91*J91)-(10-SUMPRODUCT($I$87:I90,$J$87:J90)))*IF('LAMPIRAN I DONE'!$F$21="Tenaga Pengajar",0.25,IF(OR('LAMPIRAN I DONE'!$F$21="Asisten Ahli",'LAMPIRAN I DONE'!$F$21="Lektor",'LAMPIRAN I DONE'!$F$21="Lektor Kepala",'LAMPIRAN I DONE'!$F$21="Guru Besar"),0.5,""))))),(I91&amp;" x "&amp;J91&amp;" x "&amp;(IF(OR(AND(L91="sks&gt;10",L90="sks&gt;10"),AND(L91="sks&gt;10",L90="sks&lt;=10")),IF('LAMPIRAN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Besar"),1,""))))&amp;" = "&amp;K91))),"rumus")</f>
        <v>rumus</v>
      </c>
      <c r="H91" s="28" t="s">
        <v>620</v>
      </c>
      <c r="I91" s="34"/>
      <c r="J91" s="34"/>
      <c r="K91" s="27" t="str">
        <f>IF(AND(I91&lt;&gt;"",J91&lt;&gt;""),(IF(OR(AND(L91="sks&gt;10",L90="sks&lt;=10",IFERROR(SUMPRODUCT($I$87:I90,$J$87:J90)&lt;10,FALSE)),AND(L91="sks&gt;10",L90="")),(((10-SUMPRODUCT($I$87:I90,$J$87:J90))*IF('LAMPIRAN I DONE'!$F$21="Tenaga Pengajar",0.5,IF(OR('LAMPIRAN I DONE'!$F$21="Asisten Ahli",'LAMPIRAN I DONE'!$F$21="Lektor",'LAMPIRAN I DONE'!$F$21="Lektor Kepala",'LAMPIRAN I DONE'!$F$21="Guru Besar"),1,"")))+(((I91*J91)-(10-SUMPRODUCT($I$87:I90,$J$87:J90)))*IF('LAMPIRAN I DONE'!$F$21="Tenaga Pengajar",0.25,IF(OR('LAMPIRAN I DONE'!$F$21="Asisten Ahli",'LAMPIRAN I DONE'!$F$21="Lektor",'LAMPIRAN I DONE'!$F$21="Lektor Kepala",'LAMPIRAN I DONE'!$F$21="Guru Besar"),0.5,"")))),IF(OR(AND(L91="sks&gt;10",L90="sks&gt;10"),AND(L91="sks&gt;10",L90="sks&lt;=10")),I91*J91*IF('LAMPIRAN I DONE'!$F$21="Tenaga Pengajar",0.25,IF(OR('LAMPIRAN I DONE'!$F$21="Asisten Ahli",'LAMPIRAN I DONE'!$F$21="Lektor",'LAMPIRAN I DONE'!$F$21="Lektor Kepala",'LAMPIRAN I DONE'!$F$21="Guru Besar"),0.5,"")),I91*J91*IF('LAMPIRAN I DONE'!$F$21="Tenaga Pengajar",0.5,IF(OR('LAMPIRAN I DONE'!$F$21="Asisten Ahli",'LAMPIRAN I DONE'!$F$21="Lektor",'LAMPIRAN I DONE'!$F$21="Lektor Kepala",'LAMPIRAN I DONE'!$F$21="Guru Besar"),1,""))))),"rumus")</f>
        <v>rumus</v>
      </c>
      <c r="L91" s="27" t="str">
        <f>IF(AND(I91&lt;&gt;"",J91&lt;&gt;""),(IF(SUMPRODUCT($I$88:I91,$J$88:J91)&lt;=10,"SKS&lt;=10",IF(SUMPRODUCT($I$88:I91,$J$88:J91)&gt;10,"SKS&gt;10",""))),"rumus")</f>
        <v>rumus</v>
      </c>
    </row>
    <row r="92" spans="1:14" s="2" customFormat="1" ht="25.5" hidden="1" customHeight="1" x14ac:dyDescent="0.45">
      <c r="A92" s="67">
        <v>5</v>
      </c>
      <c r="B92" s="163" t="s">
        <v>81</v>
      </c>
      <c r="C92" s="28" t="s">
        <v>251</v>
      </c>
      <c r="D92" s="28" t="str">
        <f t="shared" si="14"/>
        <v/>
      </c>
      <c r="E92" s="256" t="str">
        <f>IF(K92&lt;&gt;"rumus",(IF(OR(AND(L92="sks&gt;10",L91="sks&lt;=10",IFERROR(SUMPRODUCT($I$87:I91,$J$87:J91)&lt;10,FALSE)),AND(L92="sks&gt;10",L91="")),(((10-SUMPRODUCT($I$87:I91,$J$87:J91))&amp;" x "&amp;1)&amp;"
"&amp;(((I92*J92)-(10-SUMPRODUCT($I$87:I91,$J$87:J91)))&amp;" x "&amp;1)),(I92&amp;" x "&amp;J92))),"")</f>
        <v/>
      </c>
      <c r="F92" s="256" t="str">
        <f>IF(K92&lt;&gt;"rumus",(IF(OR(AND(L92="sks&gt;10",L91="sks&lt;=10",IFERROR(SUMPRODUCT($I$87:I91,$J$87:J91)&lt;10,FALSE)),AND(L92="sks&gt;10",L91="")),((IF('LAMPIRAN I DONE'!$F$21="Tenaga Pengajar",0.5,IF(OR('LAMPIRAN I DONE'!$F$21="Asisten Ahli",'LAMPIRAN I DONE'!$F$21="Lektor",'LAMPIRAN I DONE'!$F$21="Lektor Kepala",'LAMPIRAN I DONE'!$F$21="Guru Besar"),1,"")))&amp;"
"&amp;(IF('LAMPIRAN I DONE'!$F$21="Tenaga Pengajar",0.25,IF(OR('LAMPIRAN I DONE'!$F$21="Asisten Ahli",'LAMPIRAN I DONE'!$F$21="Lektor",'LAMPIRAN I DONE'!$F$21="Lektor Kepala",'LAMPIRAN I DONE'!$F$21="Guru Besar"),0.5,"")))),((IF(OR(AND(L92="sks&gt;10",L91="sks&gt;10"),AND(L92="sks&gt;10",L91="sks&lt;=10")),IF('LAMPIRAN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f>
        <v/>
      </c>
      <c r="G92" s="105" t="str">
        <f>IF(K92&lt;&gt;"rumus",(IF(OR(AND(L92="sks&gt;10",L91="sks&lt;=10",IFERROR(SUMPRODUCT($I$87:I91,$J$87:J91)&lt;10,FALSE)),AND(L92="sks&gt;10",L91="")),(((10-SUMPRODUCT($I$87:I91,$J$87:J91))&amp;" x "&amp;1&amp;" x "&amp;IF('LAMPIRAN I DONE'!$F$21="Tenaga Pengajar",0.5,IF(OR('LAMPIRAN I DONE'!$F$21="Asisten Ahli",'LAMPIRAN I DONE'!$F$21="Lektor",'LAMPIRAN I DONE'!$F$21="Lektor Kepala",'LAMPIRAN I DONE'!$F$21="Guru Besar"),1,""))&amp;" = "&amp;((10-SUMPRODUCT($I$87:I91,$J$87:J91))*IF('LAMPIRAN I DONE'!$F$21="Tenaga Pengajar",0.5,IF(OR('LAMPIRAN I DONE'!$F$21="Asisten Ahli",'LAMPIRAN I DONE'!$F$21="Lektor",'LAMPIRAN I DONE'!$F$21="Lektor Kepala",'LAMPIRAN I DONE'!$F$21="Guru Besar"),1,""))))&amp;"
"&amp;(((I92*J92)-(10-SUMPRODUCT($I$87:I91,$J$87:J91)))&amp;" x "&amp;1&amp;" x "&amp;IF('LAMPIRAN I DONE'!$F$21="Tenaga Pengajar",0.25,IF(OR('LAMPIRAN I DONE'!$F$21="Asisten Ahli",'LAMPIRAN I DONE'!$F$21="Lektor",'LAMPIRAN I DONE'!$F$21="Lektor Kepala",'LAMPIRAN I DONE'!$F$21="Guru Besar"),0.5,""))&amp;" = "&amp;(((I92*J92)-(10-SUMPRODUCT($I$87:I91,$J$87:J91)))*IF('LAMPIRAN I DONE'!$F$21="Tenaga Pengajar",0.25,IF(OR('LAMPIRAN I DONE'!$F$21="Asisten Ahli",'LAMPIRAN I DONE'!$F$21="Lektor",'LAMPIRAN I DONE'!$F$21="Lektor Kepala",'LAMPIRAN I DONE'!$F$21="Guru Besar"),0.5,""))))),(I92&amp;" x "&amp;J92&amp;" x "&amp;(IF(OR(AND(L92="sks&gt;10",L91="sks&gt;10"),AND(L92="sks&gt;10",L91="sks&lt;=10")),IF('LAMPIRAN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Besar"),1,""))))&amp;" = "&amp;K92))),"rumus")</f>
        <v>rumus</v>
      </c>
      <c r="H92" s="28" t="s">
        <v>620</v>
      </c>
      <c r="I92" s="34"/>
      <c r="J92" s="34"/>
      <c r="K92" s="27" t="str">
        <f>IF(AND(I92&lt;&gt;"",J92&lt;&gt;""),(IF(OR(AND(L92="sks&gt;10",L91="sks&lt;=10",IFERROR(SUMPRODUCT($I$87:I91,$J$87:J91)&lt;10,FALSE)),AND(L92="sks&gt;10",L91="")),(((10-SUMPRODUCT($I$87:I91,$J$87:J91))*IF('LAMPIRAN I DONE'!$F$21="Tenaga Pengajar",0.5,IF(OR('LAMPIRAN I DONE'!$F$21="Asisten Ahli",'LAMPIRAN I DONE'!$F$21="Lektor",'LAMPIRAN I DONE'!$F$21="Lektor Kepala",'LAMPIRAN I DONE'!$F$21="Guru Besar"),1,"")))+(((I92*J92)-(10-SUMPRODUCT($I$87:I91,$J$87:J91)))*IF('LAMPIRAN I DONE'!$F$21="Tenaga Pengajar",0.25,IF(OR('LAMPIRAN I DONE'!$F$21="Asisten Ahli",'LAMPIRAN I DONE'!$F$21="Lektor",'LAMPIRAN I DONE'!$F$21="Lektor Kepala",'LAMPIRAN I DONE'!$F$21="Guru Besar"),0.5,"")))),IF(OR(AND(L92="sks&gt;10",L91="sks&gt;10"),AND(L92="sks&gt;10",L91="sks&lt;=10")),I92*J92*IF('LAMPIRAN I DONE'!$F$21="Tenaga Pengajar",0.25,IF(OR('LAMPIRAN I DONE'!$F$21="Asisten Ahli",'LAMPIRAN I DONE'!$F$21="Lektor",'LAMPIRAN I DONE'!$F$21="Lektor Kepala",'LAMPIRAN I DONE'!$F$21="Guru Besar"),0.5,"")),I92*J92*IF('LAMPIRAN I DONE'!$F$21="Tenaga Pengajar",0.5,IF(OR('LAMPIRAN I DONE'!$F$21="Asisten Ahli",'LAMPIRAN I DONE'!$F$21="Lektor",'LAMPIRAN I DONE'!$F$21="Lektor Kepala",'LAMPIRAN I DONE'!$F$21="Guru Besar"),1,""))))),"rumus")</f>
        <v>rumus</v>
      </c>
      <c r="L92" s="27" t="str">
        <f>IF(AND(I92&lt;&gt;"",J92&lt;&gt;""),(IF(SUMPRODUCT($I$88:I92,$J$88:J92)&lt;=10,"SKS&lt;=10",IF(SUMPRODUCT($I$88:I92,$J$88:J92)&gt;10,"SKS&gt;10",""))),"rumus")</f>
        <v>rumus</v>
      </c>
    </row>
    <row r="93" spans="1:14" s="2" customFormat="1" ht="25.5" hidden="1" customHeight="1" x14ac:dyDescent="0.45">
      <c r="A93" s="67">
        <v>6</v>
      </c>
      <c r="B93" s="163" t="s">
        <v>81</v>
      </c>
      <c r="C93" s="28" t="s">
        <v>251</v>
      </c>
      <c r="D93" s="28" t="str">
        <f t="shared" si="14"/>
        <v/>
      </c>
      <c r="E93" s="256" t="str">
        <f>IF(K93&lt;&gt;"rumus",(IF(OR(AND(L93="sks&gt;10",L92="sks&lt;=10",IFERROR(SUMPRODUCT($I$87:I92,$J$87:J92)&lt;10,FALSE)),AND(L93="sks&gt;10",L92="")),(((10-SUMPRODUCT($I$87:I92,$J$87:J92))&amp;" x "&amp;1)&amp;"
"&amp;(((I93*J93)-(10-SUMPRODUCT($I$87:I92,$J$87:J92)))&amp;" x "&amp;1)),(I93&amp;" x "&amp;J93))),"")</f>
        <v/>
      </c>
      <c r="F93" s="256" t="str">
        <f>IF(K93&lt;&gt;"rumus",(IF(OR(AND(L93="sks&gt;10",L92="sks&lt;=10",IFERROR(SUMPRODUCT($I$87:I92,$J$87:J92)&lt;10,FALSE)),AND(L93="sks&gt;10",L92="")),((IF('LAMPIRAN I DONE'!$F$21="Tenaga Pengajar",0.5,IF(OR('LAMPIRAN I DONE'!$F$21="Asisten Ahli",'LAMPIRAN I DONE'!$F$21="Lektor",'LAMPIRAN I DONE'!$F$21="Lektor Kepala",'LAMPIRAN I DONE'!$F$21="Guru Besar"),1,"")))&amp;"
"&amp;(IF('LAMPIRAN I DONE'!$F$21="Tenaga Pengajar",0.25,IF(OR('LAMPIRAN I DONE'!$F$21="Asisten Ahli",'LAMPIRAN I DONE'!$F$21="Lektor",'LAMPIRAN I DONE'!$F$21="Lektor Kepala",'LAMPIRAN I DONE'!$F$21="Guru Besar"),0.5,"")))),((IF(OR(AND(L93="sks&gt;10",L92="sks&gt;10"),AND(L93="sks&gt;10",L92="sks&lt;=10")),IF('LAMPIRAN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f>
        <v/>
      </c>
      <c r="G93" s="105" t="str">
        <f>IF(K93&lt;&gt;"rumus",(IF(OR(AND(L93="sks&gt;10",L92="sks&lt;=10",IFERROR(SUMPRODUCT($I$87:I92,$J$87:J92)&lt;10,FALSE)),AND(L93="sks&gt;10",L92="")),(((10-SUMPRODUCT($I$87:I92,$J$87:J92))&amp;" x "&amp;1&amp;" x "&amp;IF('LAMPIRAN I DONE'!$F$21="Tenaga Pengajar",0.5,IF(OR('LAMPIRAN I DONE'!$F$21="Asisten Ahli",'LAMPIRAN I DONE'!$F$21="Lektor",'LAMPIRAN I DONE'!$F$21="Lektor Kepala",'LAMPIRAN I DONE'!$F$21="Guru Besar"),1,""))&amp;" = "&amp;((10-SUMPRODUCT($I$87:I92,$J$87:J92))*IF('LAMPIRAN I DONE'!$F$21="Tenaga Pengajar",0.5,IF(OR('LAMPIRAN I DONE'!$F$21="Asisten Ahli",'LAMPIRAN I DONE'!$F$21="Lektor",'LAMPIRAN I DONE'!$F$21="Lektor Kepala",'LAMPIRAN I DONE'!$F$21="Guru Besar"),1,""))))&amp;"
"&amp;(((I93*J93)-(10-SUMPRODUCT($I$87:I92,$J$87:J92)))&amp;" x "&amp;1&amp;" x "&amp;IF('LAMPIRAN I DONE'!$F$21="Tenaga Pengajar",0.25,IF(OR('LAMPIRAN I DONE'!$F$21="Asisten Ahli",'LAMPIRAN I DONE'!$F$21="Lektor",'LAMPIRAN I DONE'!$F$21="Lektor Kepala",'LAMPIRAN I DONE'!$F$21="Guru Besar"),0.5,""))&amp;" = "&amp;(((I93*J93)-(10-SUMPRODUCT($I$87:I92,$J$87:J92)))*IF('LAMPIRAN I DONE'!$F$21="Tenaga Pengajar",0.25,IF(OR('LAMPIRAN I DONE'!$F$21="Asisten Ahli",'LAMPIRAN I DONE'!$F$21="Lektor",'LAMPIRAN I DONE'!$F$21="Lektor Kepala",'LAMPIRAN I DONE'!$F$21="Guru Besar"),0.5,""))))),(I93&amp;" x "&amp;J93&amp;" x "&amp;(IF(OR(AND(L93="sks&gt;10",L92="sks&gt;10"),AND(L93="sks&gt;10",L92="sks&lt;=10")),IF('LAMPIRAN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Besar"),1,""))))&amp;" = "&amp;K93))),"rumus")</f>
        <v>rumus</v>
      </c>
      <c r="H93" s="28" t="s">
        <v>620</v>
      </c>
      <c r="I93" s="34"/>
      <c r="J93" s="34"/>
      <c r="K93" s="27" t="str">
        <f>IF(AND(I93&lt;&gt;"",J93&lt;&gt;""),(IF(OR(AND(L93="sks&gt;10",L92="sks&lt;=10",IFERROR(SUMPRODUCT($I$87:I92,$J$87:J92)&lt;10,FALSE)),AND(L93="sks&gt;10",L92="")),(((10-SUMPRODUCT($I$87:I92,$J$87:J92))*IF('LAMPIRAN I DONE'!$F$21="Tenaga Pengajar",0.5,IF(OR('LAMPIRAN I DONE'!$F$21="Asisten Ahli",'LAMPIRAN I DONE'!$F$21="Lektor",'LAMPIRAN I DONE'!$F$21="Lektor Kepala",'LAMPIRAN I DONE'!$F$21="Guru Besar"),1,"")))+(((I93*J93)-(10-SUMPRODUCT($I$87:I92,$J$87:J92)))*IF('LAMPIRAN I DONE'!$F$21="Tenaga Pengajar",0.25,IF(OR('LAMPIRAN I DONE'!$F$21="Asisten Ahli",'LAMPIRAN I DONE'!$F$21="Lektor",'LAMPIRAN I DONE'!$F$21="Lektor Kepala",'LAMPIRAN I DONE'!$F$21="Guru Besar"),0.5,"")))),IF(OR(AND(L93="sks&gt;10",L92="sks&gt;10"),AND(L93="sks&gt;10",L92="sks&lt;=10")),I93*J93*IF('LAMPIRAN I DONE'!$F$21="Tenaga Pengajar",0.25,IF(OR('LAMPIRAN I DONE'!$F$21="Asisten Ahli",'LAMPIRAN I DONE'!$F$21="Lektor",'LAMPIRAN I DONE'!$F$21="Lektor Kepala",'LAMPIRAN I DONE'!$F$21="Guru Besar"),0.5,"")),I93*J93*IF('LAMPIRAN I DONE'!$F$21="Tenaga Pengajar",0.5,IF(OR('LAMPIRAN I DONE'!$F$21="Asisten Ahli",'LAMPIRAN I DONE'!$F$21="Lektor",'LAMPIRAN I DONE'!$F$21="Lektor Kepala",'LAMPIRAN I DONE'!$F$21="Guru Besar"),1,""))))),"rumus")</f>
        <v>rumus</v>
      </c>
      <c r="L93" s="27" t="str">
        <f>IF(AND(I93&lt;&gt;"",J93&lt;&gt;""),(IF(SUMPRODUCT($I$88:I93,$J$88:J93)&lt;=10,"SKS&lt;=10",IF(SUMPRODUCT($I$88:I93,$J$88:J93)&gt;10,"SKS&gt;10",""))),"rumus")</f>
        <v>rumus</v>
      </c>
    </row>
    <row r="94" spans="1:14" s="2" customFormat="1" ht="15" customHeight="1" x14ac:dyDescent="0.45">
      <c r="A94" s="67"/>
      <c r="B94" s="168" t="str">
        <f>"a. Semester Gasal "&amp;IF(C95&lt;&gt;"",C95,"")&amp;" :"</f>
        <v>a. Semester Gasal 2015/2016 :</v>
      </c>
      <c r="C94" s="30"/>
      <c r="D94" s="111"/>
      <c r="E94" s="111"/>
      <c r="F94" s="111"/>
      <c r="G94" s="111"/>
      <c r="H94" s="112"/>
      <c r="I94" s="496"/>
      <c r="J94" s="496"/>
      <c r="M94" s="104">
        <f>IF((AND(N94="Max 5,5",SUM(K88:K93)&lt;=5.5)),SUM(K88:K93),IF((AND(N94="Max 5,5",SUM(K88:K93)&gt;5.5)),5.5,IF((AND(N94="Max 11",SUM(K88:K93)&lt;=11)),SUM(K88:K93),IF((AND(N94="Max 11",SUM(K88:K93)&gt;11)),11,""))))</f>
        <v>0</v>
      </c>
      <c r="N94" s="33" t="str">
        <f>IF('LAMPIRAN I DONE'!$F$21="Tenaga Pengajar","Max 5,5",IF(OR('LAMPIRAN I DONE'!$F$21="Asisten Ahli",'LAMPIRAN I DONE'!$F$21="Lektor",'LAMPIRAN I DONE'!$F$21="Lektor Kepala",'LAMPIRAN I DONE'!$F$21="Guru Besar"),"Max 11",""))</f>
        <v>Max 11</v>
      </c>
    </row>
    <row r="95" spans="1:14" s="2" customFormat="1" ht="25.5" customHeight="1" x14ac:dyDescent="0.45">
      <c r="A95" s="67">
        <v>1</v>
      </c>
      <c r="B95" s="819" t="s">
        <v>871</v>
      </c>
      <c r="C95" s="28" t="s">
        <v>252</v>
      </c>
      <c r="D95" s="28" t="str">
        <f>IF(G95&lt;&gt;"rumus","SKS","")</f>
        <v>SKS</v>
      </c>
      <c r="E95" s="256" t="str">
        <f>IF(K95&lt;&gt;"rumus",(IF(OR(AND(L95="sks&gt;10",L94="sks&lt;=10",IFERROR(SUMPRODUCT($I$94:I94,$J$94:J94)&lt;10,FALSE)),AND(L95="sks&gt;10",L94="")),(((10-SUMPRODUCT($I$94:I94,$J$94:J94))&amp;" x "&amp;1)&amp;"
"&amp;(((I95*J95)-(10-SUMPRODUCT($I$94:I94,$J$94:J94)))&amp;" x "&amp;1)),(I95&amp;" x "&amp;J95))),"")</f>
        <v>2 x 1</v>
      </c>
      <c r="F95" s="256">
        <f>IF(K95&lt;&gt;"rumus",(IF(OR(AND(L95="sks&gt;10",L94="sks&lt;=10",IFERROR(SUMPRODUCT($I$94:I94,$J$94:J94)&lt;10,FALSE)),AND(L95="sks&gt;10",L94="")),((IF('LAMPIRAN I DONE'!$F$21="Tenaga Pengajar",0.5,IF(OR('LAMPIRAN I DONE'!$F$21="Asisten Ahli",'LAMPIRAN I DONE'!$F$21="Lektor",'LAMPIRAN I DONE'!$F$21="Lektor Kepala",'LAMPIRAN I DONE'!$F$21="Guru Besar"),1,"")))&amp;"
"&amp;(IF('LAMPIRAN I DONE'!$F$21="Tenaga Pengajar",0.25,IF(OR('LAMPIRAN I DONE'!$F$21="Asisten Ahli",'LAMPIRAN I DONE'!$F$21="Lektor",'LAMPIRAN I DONE'!$F$21="Lektor Kepala",'LAMPIRAN I DONE'!$F$21="Guru Besar"),0.5,"")))),((IF(OR(AND(L95="sks&gt;10",L94="sks&gt;10"),AND(L95="sks&gt;10",L94="sks&lt;=10")),IF('LAMPIRAN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f>
        <v>1</v>
      </c>
      <c r="G95" s="105" t="str">
        <f>IF(K95&lt;&gt;"rumus",(IF(OR(AND(L95="sks&gt;10",L94="sks&lt;=10",IFERROR(SUMPRODUCT($I$94:I94,$J$94:J94)&lt;10,FALSE)),AND(L95="sks&gt;10",L94="")),(((10-SUMPRODUCT($I$94:I94,$J$94:J94))&amp;" x "&amp;1&amp;" x "&amp;IF('LAMPIRAN I DONE'!$F$21="Tenaga Pengajar",0.5,IF(OR('LAMPIRAN I DONE'!$F$21="Asisten Ahli",'LAMPIRAN I DONE'!$F$21="Lektor",'LAMPIRAN I DONE'!$F$21="Lektor Kepala",'LAMPIRAN I DONE'!$F$21="Guru Besar"),1,""))&amp;" = "&amp;((10-SUMPRODUCT($I$94:I94,$J$94:J94))*IF('LAMPIRAN I DONE'!$F$21="Tenaga Pengajar",0.5,IF(OR('LAMPIRAN I DONE'!$F$21="Asisten Ahli",'LAMPIRAN I DONE'!$F$21="Lektor",'LAMPIRAN I DONE'!$F$21="Lektor Kepala",'LAMPIRAN I DONE'!$F$21="Guru Besar"),1,""))))&amp;"
"&amp;(((I95*J95)-(10-SUMPRODUCT($I$94:I94,$J$94:J94)))&amp;" x "&amp;1&amp;" x "&amp;IF('LAMPIRAN I DONE'!$F$21="Tenaga Pengajar",0.25,IF(OR('LAMPIRAN I DONE'!$F$21="Asisten Ahli",'LAMPIRAN I DONE'!$F$21="Lektor",'LAMPIRAN I DONE'!$F$21="Lektor Kepala",'LAMPIRAN I DONE'!$F$21="Guru Besar"),0.5,""))&amp;" = "&amp;(((I95*J95)-(10-SUMPRODUCT($I$94:I94,$J$94:J94)))*IF('LAMPIRAN I DONE'!$F$21="Tenaga Pengajar",0.25,IF(OR('LAMPIRAN I DONE'!$F$21="Asisten Ahli",'LAMPIRAN I DONE'!$F$21="Lektor",'LAMPIRAN I DONE'!$F$21="Lektor Kepala",'LAMPIRAN I DONE'!$F$21="Guru Besar"),0.5,""))))),(I95&amp;" x "&amp;J95&amp;" x "&amp;(IF(OR(AND(L95="sks&gt;10",L94="sks&gt;10"),AND(L95="sks&gt;10",L94="sks&lt;=10")),IF('LAMPIRAN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Besar"),1,""))))&amp;" = "&amp;K95))),"rumus")</f>
        <v>2 x 1 x 1 = 2</v>
      </c>
      <c r="H95" s="820" t="s">
        <v>874</v>
      </c>
      <c r="I95" s="821">
        <v>2</v>
      </c>
      <c r="J95" s="821">
        <v>1</v>
      </c>
      <c r="K95" s="27">
        <f>IF(AND(I95&lt;&gt;"",J95&lt;&gt;""),(IF(OR(AND(L95="sks&gt;10",L94="sks&lt;=10",IFERROR(SUMPRODUCT($I$94:I94,$J$94:J94)&lt;10,FALSE)),AND(L95="sks&gt;10",L94="")),(((10-SUMPRODUCT($I$94:I94,$J$94:J94))*IF('LAMPIRAN I DONE'!$F$21="Tenaga Pengajar",0.5,IF(OR('LAMPIRAN I DONE'!$F$21="Asisten Ahli",'LAMPIRAN I DONE'!$F$21="Lektor",'LAMPIRAN I DONE'!$F$21="Lektor Kepala",'LAMPIRAN I DONE'!$F$21="Guru Besar"),1,"")))+(((I95*J95)-(10-SUMPRODUCT($I$94:I94,$J$94:J94)))*IF('LAMPIRAN I DONE'!$F$21="Tenaga Pengajar",0.25,IF(OR('LAMPIRAN I DONE'!$F$21="Asisten Ahli",'LAMPIRAN I DONE'!$F$21="Lektor",'LAMPIRAN I DONE'!$F$21="Lektor Kepala",'LAMPIRAN I DONE'!$F$21="Guru Besar"),0.5,"")))),IF(OR(AND(L95="sks&gt;10",L94="sks&gt;10"),AND(L95="sks&gt;10",L94="sks&lt;=10")),I95*J95*IF('LAMPIRAN I DONE'!$F$21="Tenaga Pengajar",0.25,IF(OR('LAMPIRAN I DONE'!$F$21="Asisten Ahli",'LAMPIRAN I DONE'!$F$21="Lektor",'LAMPIRAN I DONE'!$F$21="Lektor Kepala",'LAMPIRAN I DONE'!$F$21="Guru Besar"),0.5,"")),I95*J95*IF('LAMPIRAN I DONE'!$F$21="Tenaga Pengajar",0.5,IF(OR('LAMPIRAN I DONE'!$F$21="Asisten Ahli",'LAMPIRAN I DONE'!$F$21="Lektor",'LAMPIRAN I DONE'!$F$21="Lektor Kepala",'LAMPIRAN I DONE'!$F$21="Guru Besar"),1,""))))),"rumus")</f>
        <v>2</v>
      </c>
      <c r="L95" s="27" t="str">
        <f>IF(AND(I95&lt;&gt;"",J95&lt;&gt;""),(IF(SUMPRODUCT($I$95:I95,$J$95:J95)&lt;=10,"SKS&lt;=10",IF(SUMPRODUCT($I$95:I95,$J$95:J95)&gt;10,"SKS&gt;10",""))),"rumus")</f>
        <v>SKS&lt;=10</v>
      </c>
    </row>
    <row r="96" spans="1:14" s="2" customFormat="1" ht="25.5" customHeight="1" x14ac:dyDescent="0.45">
      <c r="A96" s="67">
        <v>2</v>
      </c>
      <c r="B96" s="819" t="s">
        <v>872</v>
      </c>
      <c r="C96" s="28" t="s">
        <v>252</v>
      </c>
      <c r="D96" s="28" t="str">
        <f t="shared" ref="D96:D100" si="15">IF(G96&lt;&gt;"rumus","SKS","")</f>
        <v>SKS</v>
      </c>
      <c r="E96" s="256" t="str">
        <f>IF(K96&lt;&gt;"rumus",(IF(OR(AND(L96="sks&gt;10",L95="sks&lt;=10",IFERROR(SUMPRODUCT($I$94:I95,$J$94:J95)&lt;10,FALSE)),AND(L96="sks&gt;10",L95="")),(((10-SUMPRODUCT($I$94:I95,$J$94:J95))&amp;" x "&amp;1)&amp;"
"&amp;(((I96*J96)-(10-SUMPRODUCT($I$94:I95,$J$94:J95)))&amp;" x "&amp;1)),(I96&amp;" x "&amp;J96))),"")</f>
        <v>2 x 1</v>
      </c>
      <c r="F96" s="256">
        <f>IF(K96&lt;&gt;"rumus",(IF(OR(AND(L96="sks&gt;10",L95="sks&lt;=10",IFERROR(SUMPRODUCT($I$94:I95,$J$94:J95)&lt;10,FALSE)),AND(L96="sks&gt;10",L95="")),((IF('LAMPIRAN I DONE'!$F$21="Tenaga Pengajar",0.5,IF(OR('LAMPIRAN I DONE'!$F$21="Asisten Ahli",'LAMPIRAN I DONE'!$F$21="Lektor",'LAMPIRAN I DONE'!$F$21="Lektor Kepala",'LAMPIRAN I DONE'!$F$21="Guru Besar"),1,"")))&amp;"
"&amp;(IF('LAMPIRAN I DONE'!$F$21="Tenaga Pengajar",0.25,IF(OR('LAMPIRAN I DONE'!$F$21="Asisten Ahli",'LAMPIRAN I DONE'!$F$21="Lektor",'LAMPIRAN I DONE'!$F$21="Lektor Kepala",'LAMPIRAN I DONE'!$F$21="Guru Besar"),0.5,"")))),((IF(OR(AND(L96="sks&gt;10",L95="sks&gt;10"),AND(L96="sks&gt;10",L95="sks&lt;=10")),IF('LAMPIRAN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f>
        <v>1</v>
      </c>
      <c r="G96" s="105" t="str">
        <f>IF(K96&lt;&gt;"rumus",(IF(OR(AND(L96="sks&gt;10",L95="sks&lt;=10",IFERROR(SUMPRODUCT($I$94:I95,$J$94:J95)&lt;10,FALSE)),AND(L96="sks&gt;10",L95="")),(((10-SUMPRODUCT($I$94:I95,$J$94:J95))&amp;" x "&amp;1&amp;" x "&amp;IF('LAMPIRAN I DONE'!$F$21="Tenaga Pengajar",0.5,IF(OR('LAMPIRAN I DONE'!$F$21="Asisten Ahli",'LAMPIRAN I DONE'!$F$21="Lektor",'LAMPIRAN I DONE'!$F$21="Lektor Kepala",'LAMPIRAN I DONE'!$F$21="Guru Besar"),1,""))&amp;" = "&amp;((10-SUMPRODUCT($I$94:I95,$J$94:J95))*IF('LAMPIRAN I DONE'!$F$21="Tenaga Pengajar",0.5,IF(OR('LAMPIRAN I DONE'!$F$21="Asisten Ahli",'LAMPIRAN I DONE'!$F$21="Lektor",'LAMPIRAN I DONE'!$F$21="Lektor Kepala",'LAMPIRAN I DONE'!$F$21="Guru Besar"),1,""))))&amp;"
"&amp;(((I96*J96)-(10-SUMPRODUCT($I$94:I95,$J$94:J95)))&amp;" x "&amp;1&amp;" x "&amp;IF('LAMPIRAN I DONE'!$F$21="Tenaga Pengajar",0.25,IF(OR('LAMPIRAN I DONE'!$F$21="Asisten Ahli",'LAMPIRAN I DONE'!$F$21="Lektor",'LAMPIRAN I DONE'!$F$21="Lektor Kepala",'LAMPIRAN I DONE'!$F$21="Guru Besar"),0.5,""))&amp;" = "&amp;(((I96*J96)-(10-SUMPRODUCT($I$94:I95,$J$94:J95)))*IF('LAMPIRAN I DONE'!$F$21="Tenaga Pengajar",0.25,IF(OR('LAMPIRAN I DONE'!$F$21="Asisten Ahli",'LAMPIRAN I DONE'!$F$21="Lektor",'LAMPIRAN I DONE'!$F$21="Lektor Kepala",'LAMPIRAN I DONE'!$F$21="Guru Besar"),0.5,""))))),(I96&amp;" x "&amp;J96&amp;" x "&amp;(IF(OR(AND(L96="sks&gt;10",L95="sks&gt;10"),AND(L96="sks&gt;10",L95="sks&lt;=10")),IF('LAMPIRAN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Besar"),1,""))))&amp;" = "&amp;K96))),"rumus")</f>
        <v>2 x 1 x 1 = 2</v>
      </c>
      <c r="H96" s="820" t="s">
        <v>874</v>
      </c>
      <c r="I96" s="821">
        <v>2</v>
      </c>
      <c r="J96" s="821">
        <v>1</v>
      </c>
      <c r="K96" s="27">
        <f>IF(AND(I96&lt;&gt;"",J96&lt;&gt;""),(IF(OR(AND(L96="sks&gt;10",L95="sks&lt;=10",IFERROR(SUMPRODUCT($I$94:I95,$J$94:J95)&lt;10,FALSE)),AND(L96="sks&gt;10",L95="")),(((10-SUMPRODUCT($I$94:I95,$J$94:J95))*IF('LAMPIRAN I DONE'!$F$21="Tenaga Pengajar",0.5,IF(OR('LAMPIRAN I DONE'!$F$21="Asisten Ahli",'LAMPIRAN I DONE'!$F$21="Lektor",'LAMPIRAN I DONE'!$F$21="Lektor Kepala",'LAMPIRAN I DONE'!$F$21="Guru Besar"),1,"")))+(((I96*J96)-(10-SUMPRODUCT($I$94:I95,$J$94:J95)))*IF('LAMPIRAN I DONE'!$F$21="Tenaga Pengajar",0.25,IF(OR('LAMPIRAN I DONE'!$F$21="Asisten Ahli",'LAMPIRAN I DONE'!$F$21="Lektor",'LAMPIRAN I DONE'!$F$21="Lektor Kepala",'LAMPIRAN I DONE'!$F$21="Guru Besar"),0.5,"")))),IF(OR(AND(L96="sks&gt;10",L95="sks&gt;10"),AND(L96="sks&gt;10",L95="sks&lt;=10")),I96*J96*IF('LAMPIRAN I DONE'!$F$21="Tenaga Pengajar",0.25,IF(OR('LAMPIRAN I DONE'!$F$21="Asisten Ahli",'LAMPIRAN I DONE'!$F$21="Lektor",'LAMPIRAN I DONE'!$F$21="Lektor Kepala",'LAMPIRAN I DONE'!$F$21="Guru Besar"),0.5,"")),I96*J96*IF('LAMPIRAN I DONE'!$F$21="Tenaga Pengajar",0.5,IF(OR('LAMPIRAN I DONE'!$F$21="Asisten Ahli",'LAMPIRAN I DONE'!$F$21="Lektor",'LAMPIRAN I DONE'!$F$21="Lektor Kepala",'LAMPIRAN I DONE'!$F$21="Guru Besar"),1,""))))),"rumus")</f>
        <v>2</v>
      </c>
      <c r="L96" s="27" t="str">
        <f>IF(AND(I96&lt;&gt;"",J96&lt;&gt;""),(IF(SUMPRODUCT($I$95:I96,$J$95:J96)&lt;=10,"SKS&lt;=10",IF(SUMPRODUCT($I$95:I96,$J$95:J96)&gt;10,"SKS&gt;10",""))),"rumus")</f>
        <v>SKS&lt;=10</v>
      </c>
    </row>
    <row r="97" spans="1:14" s="2" customFormat="1" ht="25.5" customHeight="1" x14ac:dyDescent="0.45">
      <c r="A97" s="67">
        <v>3</v>
      </c>
      <c r="B97" s="819" t="s">
        <v>873</v>
      </c>
      <c r="C97" s="28" t="s">
        <v>252</v>
      </c>
      <c r="D97" s="28" t="str">
        <f t="shared" si="15"/>
        <v>SKS</v>
      </c>
      <c r="E97" s="256" t="str">
        <f>IF(K97&lt;&gt;"rumus",(IF(OR(AND(L97="sks&gt;10",L96="sks&lt;=10",IFERROR(SUMPRODUCT($I$94:I96,$J$94:J96)&lt;10,FALSE)),AND(L97="sks&gt;10",L96="")),(((10-SUMPRODUCT($I$94:I96,$J$94:J96))&amp;" x "&amp;1)&amp;"
"&amp;(((I97*J97)-(10-SUMPRODUCT($I$94:I96,$J$94:J96)))&amp;" x "&amp;1)),(I97&amp;" x "&amp;J97))),"")</f>
        <v>4 x 1</v>
      </c>
      <c r="F97" s="256">
        <f>IF(K97&lt;&gt;"rumus",(IF(OR(AND(L97="sks&gt;10",L96="sks&lt;=10",IFERROR(SUMPRODUCT($I$94:I96,$J$94:J96)&lt;10,FALSE)),AND(L97="sks&gt;10",L96="")),((IF('LAMPIRAN I DONE'!$F$21="Tenaga Pengajar",0.5,IF(OR('LAMPIRAN I DONE'!$F$21="Asisten Ahli",'LAMPIRAN I DONE'!$F$21="Lektor",'LAMPIRAN I DONE'!$F$21="Lektor Kepala",'LAMPIRAN I DONE'!$F$21="Guru Besar"),1,"")))&amp;"
"&amp;(IF('LAMPIRAN I DONE'!$F$21="Tenaga Pengajar",0.25,IF(OR('LAMPIRAN I DONE'!$F$21="Asisten Ahli",'LAMPIRAN I DONE'!$F$21="Lektor",'LAMPIRAN I DONE'!$F$21="Lektor Kepala",'LAMPIRAN I DONE'!$F$21="Guru Besar"),0.5,"")))),((IF(OR(AND(L97="sks&gt;10",L96="sks&gt;10"),AND(L97="sks&gt;10",L96="sks&lt;=10")),IF('LAMPIRAN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f>
        <v>1</v>
      </c>
      <c r="G97" s="105" t="str">
        <f>IF(K97&lt;&gt;"rumus",(IF(OR(AND(L97="sks&gt;10",L96="sks&lt;=10",IFERROR(SUMPRODUCT($I$94:I96,$J$94:J96)&lt;10,FALSE)),AND(L97="sks&gt;10",L96="")),(((10-SUMPRODUCT($I$94:I96,$J$94:J96))&amp;" x "&amp;1&amp;" x "&amp;IF('LAMPIRAN I DONE'!$F$21="Tenaga Pengajar",0.5,IF(OR('LAMPIRAN I DONE'!$F$21="Asisten Ahli",'LAMPIRAN I DONE'!$F$21="Lektor",'LAMPIRAN I DONE'!$F$21="Lektor Kepala",'LAMPIRAN I DONE'!$F$21="Guru Besar"),1,""))&amp;" = "&amp;((10-SUMPRODUCT($I$94:I96,$J$94:J96))*IF('LAMPIRAN I DONE'!$F$21="Tenaga Pengajar",0.5,IF(OR('LAMPIRAN I DONE'!$F$21="Asisten Ahli",'LAMPIRAN I DONE'!$F$21="Lektor",'LAMPIRAN I DONE'!$F$21="Lektor Kepala",'LAMPIRAN I DONE'!$F$21="Guru Besar"),1,""))))&amp;"
"&amp;(((I97*J97)-(10-SUMPRODUCT($I$94:I96,$J$94:J96)))&amp;" x "&amp;1&amp;" x "&amp;IF('LAMPIRAN I DONE'!$F$21="Tenaga Pengajar",0.25,IF(OR('LAMPIRAN I DONE'!$F$21="Asisten Ahli",'LAMPIRAN I DONE'!$F$21="Lektor",'LAMPIRAN I DONE'!$F$21="Lektor Kepala",'LAMPIRAN I DONE'!$F$21="Guru Besar"),0.5,""))&amp;" = "&amp;(((I97*J97)-(10-SUMPRODUCT($I$94:I96,$J$94:J96)))*IF('LAMPIRAN I DONE'!$F$21="Tenaga Pengajar",0.25,IF(OR('LAMPIRAN I DONE'!$F$21="Asisten Ahli",'LAMPIRAN I DONE'!$F$21="Lektor",'LAMPIRAN I DONE'!$F$21="Lektor Kepala",'LAMPIRAN I DONE'!$F$21="Guru Besar"),0.5,""))))),(I97&amp;" x "&amp;J97&amp;" x "&amp;(IF(OR(AND(L97="sks&gt;10",L96="sks&gt;10"),AND(L97="sks&gt;10",L96="sks&lt;=10")),IF('LAMPIRAN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Besar"),1,""))))&amp;" = "&amp;K97))),"rumus")</f>
        <v>4 x 1 x 1 = 4</v>
      </c>
      <c r="H97" s="820" t="s">
        <v>874</v>
      </c>
      <c r="I97" s="821">
        <v>4</v>
      </c>
      <c r="J97" s="821">
        <v>1</v>
      </c>
      <c r="K97" s="27">
        <f>IF(AND(I97&lt;&gt;"",J97&lt;&gt;""),(IF(OR(AND(L97="sks&gt;10",L96="sks&lt;=10",IFERROR(SUMPRODUCT($I$94:I96,$J$94:J96)&lt;10,FALSE)),AND(L97="sks&gt;10",L96="")),(((10-SUMPRODUCT($I$94:I96,$J$94:J96))*IF('LAMPIRAN I DONE'!$F$21="Tenaga Pengajar",0.5,IF(OR('LAMPIRAN I DONE'!$F$21="Asisten Ahli",'LAMPIRAN I DONE'!$F$21="Lektor",'LAMPIRAN I DONE'!$F$21="Lektor Kepala",'LAMPIRAN I DONE'!$F$21="Guru Besar"),1,"")))+(((I97*J97)-(10-SUMPRODUCT($I$94:I96,$J$94:J96)))*IF('LAMPIRAN I DONE'!$F$21="Tenaga Pengajar",0.25,IF(OR('LAMPIRAN I DONE'!$F$21="Asisten Ahli",'LAMPIRAN I DONE'!$F$21="Lektor",'LAMPIRAN I DONE'!$F$21="Lektor Kepala",'LAMPIRAN I DONE'!$F$21="Guru Besar"),0.5,"")))),IF(OR(AND(L97="sks&gt;10",L96="sks&gt;10"),AND(L97="sks&gt;10",L96="sks&lt;=10")),I97*J97*IF('LAMPIRAN I DONE'!$F$21="Tenaga Pengajar",0.25,IF(OR('LAMPIRAN I DONE'!$F$21="Asisten Ahli",'LAMPIRAN I DONE'!$F$21="Lektor",'LAMPIRAN I DONE'!$F$21="Lektor Kepala",'LAMPIRAN I DONE'!$F$21="Guru Besar"),0.5,"")),I97*J97*IF('LAMPIRAN I DONE'!$F$21="Tenaga Pengajar",0.5,IF(OR('LAMPIRAN I DONE'!$F$21="Asisten Ahli",'LAMPIRAN I DONE'!$F$21="Lektor",'LAMPIRAN I DONE'!$F$21="Lektor Kepala",'LAMPIRAN I DONE'!$F$21="Guru Besar"),1,""))))),"rumus")</f>
        <v>4</v>
      </c>
      <c r="L97" s="27" t="str">
        <f>IF(AND(I97&lt;&gt;"",J97&lt;&gt;""),(IF(SUMPRODUCT($I$95:I97,$J$95:J97)&lt;=10,"SKS&lt;=10",IF(SUMPRODUCT($I$95:I97,$J$95:J97)&gt;10,"SKS&gt;10",""))),"rumus")</f>
        <v>SKS&lt;=10</v>
      </c>
    </row>
    <row r="98" spans="1:14" s="2" customFormat="1" ht="25.5" hidden="1" customHeight="1" x14ac:dyDescent="0.45">
      <c r="A98" s="67">
        <v>4</v>
      </c>
      <c r="B98" s="163" t="s">
        <v>81</v>
      </c>
      <c r="C98" s="28" t="s">
        <v>252</v>
      </c>
      <c r="D98" s="28" t="str">
        <f t="shared" si="15"/>
        <v/>
      </c>
      <c r="E98" s="256" t="str">
        <f>IF(K98&lt;&gt;"rumus",(IF(OR(AND(L98="sks&gt;10",L97="sks&lt;=10",IFERROR(SUMPRODUCT($I$94:I97,$J$94:J97)&lt;10,FALSE)),AND(L98="sks&gt;10",L97="")),(((10-SUMPRODUCT($I$94:I97,$J$94:J97))&amp;" x "&amp;1)&amp;"
"&amp;(((I98*J98)-(10-SUMPRODUCT($I$94:I97,$J$94:J97)))&amp;" x "&amp;1)),(I98&amp;" x "&amp;J98))),"")</f>
        <v/>
      </c>
      <c r="F98" s="256" t="str">
        <f>IF(K98&lt;&gt;"rumus",(IF(OR(AND(L98="sks&gt;10",L97="sks&lt;=10",IFERROR(SUMPRODUCT($I$94:I97,$J$94:J97)&lt;10,FALSE)),AND(L98="sks&gt;10",L97="")),((IF('LAMPIRAN I DONE'!$F$21="Tenaga Pengajar",0.5,IF(OR('LAMPIRAN I DONE'!$F$21="Asisten Ahli",'LAMPIRAN I DONE'!$F$21="Lektor",'LAMPIRAN I DONE'!$F$21="Lektor Kepala",'LAMPIRAN I DONE'!$F$21="Guru Besar"),1,"")))&amp;"
"&amp;(IF('LAMPIRAN I DONE'!$F$21="Tenaga Pengajar",0.25,IF(OR('LAMPIRAN I DONE'!$F$21="Asisten Ahli",'LAMPIRAN I DONE'!$F$21="Lektor",'LAMPIRAN I DONE'!$F$21="Lektor Kepala",'LAMPIRAN I DONE'!$F$21="Guru Besar"),0.5,"")))),((IF(OR(AND(L98="sks&gt;10",L97="sks&gt;10"),AND(L98="sks&gt;10",L97="sks&lt;=10")),IF('LAMPIRAN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f>
        <v/>
      </c>
      <c r="G98" s="105" t="str">
        <f>IF(K98&lt;&gt;"rumus",(IF(OR(AND(L98="sks&gt;10",L97="sks&lt;=10",IFERROR(SUMPRODUCT($I$94:I97,$J$94:J97)&lt;10,FALSE)),AND(L98="sks&gt;10",L97="")),(((10-SUMPRODUCT($I$94:I97,$J$94:J97))&amp;" x "&amp;1&amp;" x "&amp;IF('LAMPIRAN I DONE'!$F$21="Tenaga Pengajar",0.5,IF(OR('LAMPIRAN I DONE'!$F$21="Asisten Ahli",'LAMPIRAN I DONE'!$F$21="Lektor",'LAMPIRAN I DONE'!$F$21="Lektor Kepala",'LAMPIRAN I DONE'!$F$21="Guru Besar"),1,""))&amp;" = "&amp;((10-SUMPRODUCT($I$94:I97,$J$94:J97))*IF('LAMPIRAN I DONE'!$F$21="Tenaga Pengajar",0.5,IF(OR('LAMPIRAN I DONE'!$F$21="Asisten Ahli",'LAMPIRAN I DONE'!$F$21="Lektor",'LAMPIRAN I DONE'!$F$21="Lektor Kepala",'LAMPIRAN I DONE'!$F$21="Guru Besar"),1,""))))&amp;"
"&amp;(((I98*J98)-(10-SUMPRODUCT($I$94:I97,$J$94:J97)))&amp;" x "&amp;1&amp;" x "&amp;IF('LAMPIRAN I DONE'!$F$21="Tenaga Pengajar",0.25,IF(OR('LAMPIRAN I DONE'!$F$21="Asisten Ahli",'LAMPIRAN I DONE'!$F$21="Lektor",'LAMPIRAN I DONE'!$F$21="Lektor Kepala",'LAMPIRAN I DONE'!$F$21="Guru Besar"),0.5,""))&amp;" = "&amp;(((I98*J98)-(10-SUMPRODUCT($I$94:I97,$J$94:J97)))*IF('LAMPIRAN I DONE'!$F$21="Tenaga Pengajar",0.25,IF(OR('LAMPIRAN I DONE'!$F$21="Asisten Ahli",'LAMPIRAN I DONE'!$F$21="Lektor",'LAMPIRAN I DONE'!$F$21="Lektor Kepala",'LAMPIRAN I DONE'!$F$21="Guru Besar"),0.5,""))))),(I98&amp;" x "&amp;J98&amp;" x "&amp;(IF(OR(AND(L98="sks&gt;10",L97="sks&gt;10"),AND(L98="sks&gt;10",L97="sks&lt;=10")),IF('LAMPIRAN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Besar"),1,""))))&amp;" = "&amp;K98))),"rumus")</f>
        <v>rumus</v>
      </c>
      <c r="H98" s="820" t="s">
        <v>620</v>
      </c>
      <c r="I98" s="34"/>
      <c r="J98" s="34"/>
      <c r="K98" s="27" t="str">
        <f>IF(AND(I98&lt;&gt;"",J98&lt;&gt;""),(IF(OR(AND(L98="sks&gt;10",L97="sks&lt;=10",IFERROR(SUMPRODUCT($I$94:I97,$J$94:J97)&lt;10,FALSE)),AND(L98="sks&gt;10",L97="")),(((10-SUMPRODUCT($I$94:I97,$J$94:J97))*IF('LAMPIRAN I DONE'!$F$21="Tenaga Pengajar",0.5,IF(OR('LAMPIRAN I DONE'!$F$21="Asisten Ahli",'LAMPIRAN I DONE'!$F$21="Lektor",'LAMPIRAN I DONE'!$F$21="Lektor Kepala",'LAMPIRAN I DONE'!$F$21="Guru Besar"),1,"")))+(((I98*J98)-(10-SUMPRODUCT($I$94:I97,$J$94:J97)))*IF('LAMPIRAN I DONE'!$F$21="Tenaga Pengajar",0.25,IF(OR('LAMPIRAN I DONE'!$F$21="Asisten Ahli",'LAMPIRAN I DONE'!$F$21="Lektor",'LAMPIRAN I DONE'!$F$21="Lektor Kepala",'LAMPIRAN I DONE'!$F$21="Guru Besar"),0.5,"")))),IF(OR(AND(L98="sks&gt;10",L97="sks&gt;10"),AND(L98="sks&gt;10",L97="sks&lt;=10")),I98*J98*IF('LAMPIRAN I DONE'!$F$21="Tenaga Pengajar",0.25,IF(OR('LAMPIRAN I DONE'!$F$21="Asisten Ahli",'LAMPIRAN I DONE'!$F$21="Lektor",'LAMPIRAN I DONE'!$F$21="Lektor Kepala",'LAMPIRAN I DONE'!$F$21="Guru Besar"),0.5,"")),I98*J98*IF('LAMPIRAN I DONE'!$F$21="Tenaga Pengajar",0.5,IF(OR('LAMPIRAN I DONE'!$F$21="Asisten Ahli",'LAMPIRAN I DONE'!$F$21="Lektor",'LAMPIRAN I DONE'!$F$21="Lektor Kepala",'LAMPIRAN I DONE'!$F$21="Guru Besar"),1,""))))),"rumus")</f>
        <v>rumus</v>
      </c>
      <c r="L98" s="27" t="str">
        <f>IF(AND(I98&lt;&gt;"",J98&lt;&gt;""),(IF(SUMPRODUCT($I$95:I98,$J$95:J98)&lt;=10,"SKS&lt;=10",IF(SUMPRODUCT($I$95:I98,$J$95:J98)&gt;10,"SKS&gt;10",""))),"rumus")</f>
        <v>rumus</v>
      </c>
    </row>
    <row r="99" spans="1:14" s="2" customFormat="1" ht="25.5" hidden="1" customHeight="1" x14ac:dyDescent="0.45">
      <c r="A99" s="67">
        <v>5</v>
      </c>
      <c r="B99" s="163" t="s">
        <v>81</v>
      </c>
      <c r="C99" s="28" t="s">
        <v>252</v>
      </c>
      <c r="D99" s="28" t="str">
        <f t="shared" si="15"/>
        <v/>
      </c>
      <c r="E99" s="256" t="str">
        <f>IF(K99&lt;&gt;"rumus",(IF(OR(AND(L99="sks&gt;10",L98="sks&lt;=10",IFERROR(SUMPRODUCT($I$94:I98,$J$94:J98)&lt;10,FALSE)),AND(L99="sks&gt;10",L98="")),(((10-SUMPRODUCT($I$94:I98,$J$94:J98))&amp;" x "&amp;1)&amp;"
"&amp;(((I99*J99)-(10-SUMPRODUCT($I$94:I98,$J$94:J98)))&amp;" x "&amp;1)),(I99&amp;" x "&amp;J99))),"")</f>
        <v/>
      </c>
      <c r="F99" s="256" t="str">
        <f>IF(K99&lt;&gt;"rumus",(IF(OR(AND(L99="sks&gt;10",L98="sks&lt;=10",IFERROR(SUMPRODUCT($I$94:I98,$J$94:J98)&lt;10,FALSE)),AND(L99="sks&gt;10",L98="")),((IF('LAMPIRAN I DONE'!$F$21="Tenaga Pengajar",0.5,IF(OR('LAMPIRAN I DONE'!$F$21="Asisten Ahli",'LAMPIRAN I DONE'!$F$21="Lektor",'LAMPIRAN I DONE'!$F$21="Lektor Kepala",'LAMPIRAN I DONE'!$F$21="Guru Besar"),1,"")))&amp;"
"&amp;(IF('LAMPIRAN I DONE'!$F$21="Tenaga Pengajar",0.25,IF(OR('LAMPIRAN I DONE'!$F$21="Asisten Ahli",'LAMPIRAN I DONE'!$F$21="Lektor",'LAMPIRAN I DONE'!$F$21="Lektor Kepala",'LAMPIRAN I DONE'!$F$21="Guru Besar"),0.5,"")))),((IF(OR(AND(L99="sks&gt;10",L98="sks&gt;10"),AND(L99="sks&gt;10",L98="sks&lt;=10")),IF('LAMPIRAN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f>
        <v/>
      </c>
      <c r="G99" s="105" t="str">
        <f>IF(K99&lt;&gt;"rumus",(IF(OR(AND(L99="sks&gt;10",L98="sks&lt;=10",IFERROR(SUMPRODUCT($I$94:I98,$J$94:J98)&lt;10,FALSE)),AND(L99="sks&gt;10",L98="")),(((10-SUMPRODUCT($I$94:I98,$J$94:J98))&amp;" x "&amp;1&amp;" x "&amp;IF('LAMPIRAN I DONE'!$F$21="Tenaga Pengajar",0.5,IF(OR('LAMPIRAN I DONE'!$F$21="Asisten Ahli",'LAMPIRAN I DONE'!$F$21="Lektor",'LAMPIRAN I DONE'!$F$21="Lektor Kepala",'LAMPIRAN I DONE'!$F$21="Guru Besar"),1,""))&amp;" = "&amp;((10-SUMPRODUCT($I$94:I98,$J$94:J98))*IF('LAMPIRAN I DONE'!$F$21="Tenaga Pengajar",0.5,IF(OR('LAMPIRAN I DONE'!$F$21="Asisten Ahli",'LAMPIRAN I DONE'!$F$21="Lektor",'LAMPIRAN I DONE'!$F$21="Lektor Kepala",'LAMPIRAN I DONE'!$F$21="Guru Besar"),1,""))))&amp;"
"&amp;(((I99*J99)-(10-SUMPRODUCT($I$94:I98,$J$94:J98)))&amp;" x "&amp;1&amp;" x "&amp;IF('LAMPIRAN I DONE'!$F$21="Tenaga Pengajar",0.25,IF(OR('LAMPIRAN I DONE'!$F$21="Asisten Ahli",'LAMPIRAN I DONE'!$F$21="Lektor",'LAMPIRAN I DONE'!$F$21="Lektor Kepala",'LAMPIRAN I DONE'!$F$21="Guru Besar"),0.5,""))&amp;" = "&amp;(((I99*J99)-(10-SUMPRODUCT($I$94:I98,$J$94:J98)))*IF('LAMPIRAN I DONE'!$F$21="Tenaga Pengajar",0.25,IF(OR('LAMPIRAN I DONE'!$F$21="Asisten Ahli",'LAMPIRAN I DONE'!$F$21="Lektor",'LAMPIRAN I DONE'!$F$21="Lektor Kepala",'LAMPIRAN I DONE'!$F$21="Guru Besar"),0.5,""))))),(I99&amp;" x "&amp;J99&amp;" x "&amp;(IF(OR(AND(L99="sks&gt;10",L98="sks&gt;10"),AND(L99="sks&gt;10",L98="sks&lt;=10")),IF('LAMPIRAN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Besar"),1,""))))&amp;" = "&amp;K99))),"rumus")</f>
        <v>rumus</v>
      </c>
      <c r="H99" s="820" t="s">
        <v>620</v>
      </c>
      <c r="I99" s="34"/>
      <c r="J99" s="34"/>
      <c r="K99" s="27" t="str">
        <f>IF(AND(I99&lt;&gt;"",J99&lt;&gt;""),(IF(OR(AND(L99="sks&gt;10",L98="sks&lt;=10",IFERROR(SUMPRODUCT($I$94:I98,$J$94:J98)&lt;10,FALSE)),AND(L99="sks&gt;10",L98="")),(((10-SUMPRODUCT($I$94:I98,$J$94:J98))*IF('LAMPIRAN I DONE'!$F$21="Tenaga Pengajar",0.5,IF(OR('LAMPIRAN I DONE'!$F$21="Asisten Ahli",'LAMPIRAN I DONE'!$F$21="Lektor",'LAMPIRAN I DONE'!$F$21="Lektor Kepala",'LAMPIRAN I DONE'!$F$21="Guru Besar"),1,"")))+(((I99*J99)-(10-SUMPRODUCT($I$94:I98,$J$94:J98)))*IF('LAMPIRAN I DONE'!$F$21="Tenaga Pengajar",0.25,IF(OR('LAMPIRAN I DONE'!$F$21="Asisten Ahli",'LAMPIRAN I DONE'!$F$21="Lektor",'LAMPIRAN I DONE'!$F$21="Lektor Kepala",'LAMPIRAN I DONE'!$F$21="Guru Besar"),0.5,"")))),IF(OR(AND(L99="sks&gt;10",L98="sks&gt;10"),AND(L99="sks&gt;10",L98="sks&lt;=10")),I99*J99*IF('LAMPIRAN I DONE'!$F$21="Tenaga Pengajar",0.25,IF(OR('LAMPIRAN I DONE'!$F$21="Asisten Ahli",'LAMPIRAN I DONE'!$F$21="Lektor",'LAMPIRAN I DONE'!$F$21="Lektor Kepala",'LAMPIRAN I DONE'!$F$21="Guru Besar"),0.5,"")),I99*J99*IF('LAMPIRAN I DONE'!$F$21="Tenaga Pengajar",0.5,IF(OR('LAMPIRAN I DONE'!$F$21="Asisten Ahli",'LAMPIRAN I DONE'!$F$21="Lektor",'LAMPIRAN I DONE'!$F$21="Lektor Kepala",'LAMPIRAN I DONE'!$F$21="Guru Besar"),1,""))))),"rumus")</f>
        <v>rumus</v>
      </c>
      <c r="L99" s="27" t="str">
        <f>IF(AND(I99&lt;&gt;"",J99&lt;&gt;""),(IF(SUMPRODUCT($I$95:I99,$J$95:J99)&lt;=10,"SKS&lt;=10",IF(SUMPRODUCT($I$95:I99,$J$95:J99)&gt;10,"SKS&gt;10",""))),"rumus")</f>
        <v>rumus</v>
      </c>
    </row>
    <row r="100" spans="1:14" s="2" customFormat="1" ht="25.5" hidden="1" customHeight="1" x14ac:dyDescent="0.45">
      <c r="A100" s="67">
        <v>6</v>
      </c>
      <c r="B100" s="163" t="s">
        <v>81</v>
      </c>
      <c r="C100" s="28" t="s">
        <v>252</v>
      </c>
      <c r="D100" s="28" t="str">
        <f t="shared" si="15"/>
        <v/>
      </c>
      <c r="E100" s="256" t="str">
        <f>IF(K100&lt;&gt;"rumus",(IF(OR(AND(L100="sks&gt;10",L99="sks&lt;=10",IFERROR(SUMPRODUCT($I$94:I99,$J$94:J99)&lt;10,FALSE)),AND(L100="sks&gt;10",L99="")),(((10-SUMPRODUCT($I$94:I99,$J$94:J99))&amp;" x "&amp;1)&amp;"
"&amp;(((I100*J100)-(10-SUMPRODUCT($I$94:I99,$J$94:J99)))&amp;" x "&amp;1)),(I100&amp;" x "&amp;J100))),"")</f>
        <v/>
      </c>
      <c r="F100" s="256" t="str">
        <f>IF(K100&lt;&gt;"rumus",(IF(OR(AND(L100="sks&gt;10",L99="sks&lt;=10",IFERROR(SUMPRODUCT($I$94:I99,$J$94:J99)&lt;10,FALSE)),AND(L100="sks&gt;10",L99="")),((IF('LAMPIRAN I DONE'!$F$21="Tenaga Pengajar",0.5,IF(OR('LAMPIRAN I DONE'!$F$21="Asisten Ahli",'LAMPIRAN I DONE'!$F$21="Lektor",'LAMPIRAN I DONE'!$F$21="Lektor Kepala",'LAMPIRAN I DONE'!$F$21="Guru Besar"),1,"")))&amp;"
"&amp;(IF('LAMPIRAN I DONE'!$F$21="Tenaga Pengajar",0.25,IF(OR('LAMPIRAN I DONE'!$F$21="Asisten Ahli",'LAMPIRAN I DONE'!$F$21="Lektor",'LAMPIRAN I DONE'!$F$21="Lektor Kepala",'LAMPIRAN I DONE'!$F$21="Guru Besar"),0.5,"")))),((IF(OR(AND(L100="sks&gt;10",L99="sks&gt;10"),AND(L100="sks&gt;10",L99="sks&lt;=10")),IF('LAMPIRAN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f>
        <v/>
      </c>
      <c r="G100" s="105" t="str">
        <f>IF(K100&lt;&gt;"rumus",(IF(OR(AND(L100="sks&gt;10",L99="sks&lt;=10",IFERROR(SUMPRODUCT($I$94:I99,$J$94:J99)&lt;10,FALSE)),AND(L100="sks&gt;10",L99="")),(((10-SUMPRODUCT($I$94:I99,$J$94:J99))&amp;" x "&amp;1&amp;" x "&amp;IF('LAMPIRAN I DONE'!$F$21="Tenaga Pengajar",0.5,IF(OR('LAMPIRAN I DONE'!$F$21="Asisten Ahli",'LAMPIRAN I DONE'!$F$21="Lektor",'LAMPIRAN I DONE'!$F$21="Lektor Kepala",'LAMPIRAN I DONE'!$F$21="Guru Besar"),1,""))&amp;" = "&amp;((10-SUMPRODUCT($I$94:I99,$J$94:J99))*IF('LAMPIRAN I DONE'!$F$21="Tenaga Pengajar",0.5,IF(OR('LAMPIRAN I DONE'!$F$21="Asisten Ahli",'LAMPIRAN I DONE'!$F$21="Lektor",'LAMPIRAN I DONE'!$F$21="Lektor Kepala",'LAMPIRAN I DONE'!$F$21="Guru Besar"),1,""))))&amp;"
"&amp;(((I100*J100)-(10-SUMPRODUCT($I$94:I99,$J$94:J99)))&amp;" x "&amp;1&amp;" x "&amp;IF('LAMPIRAN I DONE'!$F$21="Tenaga Pengajar",0.25,IF(OR('LAMPIRAN I DONE'!$F$21="Asisten Ahli",'LAMPIRAN I DONE'!$F$21="Lektor",'LAMPIRAN I DONE'!$F$21="Lektor Kepala",'LAMPIRAN I DONE'!$F$21="Guru Besar"),0.5,""))&amp;" = "&amp;(((I100*J100)-(10-SUMPRODUCT($I$94:I99,$J$94:J99)))*IF('LAMPIRAN I DONE'!$F$21="Tenaga Pengajar",0.25,IF(OR('LAMPIRAN I DONE'!$F$21="Asisten Ahli",'LAMPIRAN I DONE'!$F$21="Lektor",'LAMPIRAN I DONE'!$F$21="Lektor Kepala",'LAMPIRAN I DONE'!$F$21="Guru Besar"),0.5,""))))),(I100&amp;" x "&amp;J100&amp;" x "&amp;(IF(OR(AND(L100="sks&gt;10",L99="sks&gt;10"),AND(L100="sks&gt;10",L99="sks&lt;=10")),IF('LAMPIRAN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Besar"),1,""))))&amp;" = "&amp;K100))),"rumus")</f>
        <v>rumus</v>
      </c>
      <c r="H100" s="820" t="s">
        <v>620</v>
      </c>
      <c r="I100" s="34"/>
      <c r="J100" s="34"/>
      <c r="K100" s="27" t="str">
        <f>IF(AND(I100&lt;&gt;"",J100&lt;&gt;""),(IF(OR(AND(L100="sks&gt;10",L99="sks&lt;=10",IFERROR(SUMPRODUCT($I$94:I99,$J$94:J99)&lt;10,FALSE)),AND(L100="sks&gt;10",L99="")),(((10-SUMPRODUCT($I$94:I99,$J$94:J99))*IF('LAMPIRAN I DONE'!$F$21="Tenaga Pengajar",0.5,IF(OR('LAMPIRAN I DONE'!$F$21="Asisten Ahli",'LAMPIRAN I DONE'!$F$21="Lektor",'LAMPIRAN I DONE'!$F$21="Lektor Kepala",'LAMPIRAN I DONE'!$F$21="Guru Besar"),1,"")))+(((I100*J100)-(10-SUMPRODUCT($I$94:I99,$J$94:J99)))*IF('LAMPIRAN I DONE'!$F$21="Tenaga Pengajar",0.25,IF(OR('LAMPIRAN I DONE'!$F$21="Asisten Ahli",'LAMPIRAN I DONE'!$F$21="Lektor",'LAMPIRAN I DONE'!$F$21="Lektor Kepala",'LAMPIRAN I DONE'!$F$21="Guru Besar"),0.5,"")))),IF(OR(AND(L100="sks&gt;10",L99="sks&gt;10"),AND(L100="sks&gt;10",L99="sks&lt;=10")),I100*J100*IF('LAMPIRAN I DONE'!$F$21="Tenaga Pengajar",0.25,IF(OR('LAMPIRAN I DONE'!$F$21="Asisten Ahli",'LAMPIRAN I DONE'!$F$21="Lektor",'LAMPIRAN I DONE'!$F$21="Lektor Kepala",'LAMPIRAN I DONE'!$F$21="Guru Besar"),0.5,"")),I100*J100*IF('LAMPIRAN I DONE'!$F$21="Tenaga Pengajar",0.5,IF(OR('LAMPIRAN I DONE'!$F$21="Asisten Ahli",'LAMPIRAN I DONE'!$F$21="Lektor",'LAMPIRAN I DONE'!$F$21="Lektor Kepala",'LAMPIRAN I DONE'!$F$21="Guru Besar"),1,""))))),"rumus")</f>
        <v>rumus</v>
      </c>
      <c r="L100" s="27" t="str">
        <f>IF(AND(I100&lt;&gt;"",J100&lt;&gt;""),(IF(SUMPRODUCT($I$95:I100,$J$95:J100)&lt;=10,"SKS&lt;=10",IF(SUMPRODUCT($I$95:I100,$J$95:J100)&gt;10,"SKS&gt;10",""))),"rumus")</f>
        <v>rumus</v>
      </c>
    </row>
    <row r="101" spans="1:14" s="2" customFormat="1" ht="15" customHeight="1" x14ac:dyDescent="0.45">
      <c r="A101" s="67"/>
      <c r="B101" s="168" t="str">
        <f>"a. Semester Gasal "&amp;IF(C102&lt;&gt;"",C102,"")&amp;" :"</f>
        <v>a. Semester Gasal 2016/2017 :</v>
      </c>
      <c r="C101" s="30"/>
      <c r="D101" s="30"/>
      <c r="E101" s="30"/>
      <c r="F101" s="30"/>
      <c r="G101" s="30"/>
      <c r="H101" s="54"/>
      <c r="I101" s="496"/>
      <c r="J101" s="496"/>
      <c r="M101" s="104">
        <f>IF((AND(N101="Max 5,5",SUM(K95:K100)&lt;=5.5)),SUM(K95:K100),IF((AND(N101="Max 5,5",SUM(K95:K100)&gt;5.5)),5.5,IF((AND(N101="Max 11",SUM(K95:K100)&lt;=11)),SUM(K95:K100),IF((AND(N101="Max 11",SUM(K95:K100)&gt;11)),11,""))))</f>
        <v>8</v>
      </c>
      <c r="N101" s="33" t="str">
        <f>IF('LAMPIRAN I DONE'!$F$21="Tenaga Pengajar","Max 5,5",IF(OR('LAMPIRAN I DONE'!$F$21="Asisten Ahli",'LAMPIRAN I DONE'!$F$21="Lektor",'LAMPIRAN I DONE'!$F$21="Lektor Kepala",'LAMPIRAN I DONE'!$F$21="Guru Besar"),"Max 11",""))</f>
        <v>Max 11</v>
      </c>
    </row>
    <row r="102" spans="1:14" s="2" customFormat="1" ht="25.5" customHeight="1" x14ac:dyDescent="0.45">
      <c r="A102" s="67">
        <v>1</v>
      </c>
      <c r="B102" s="823" t="s">
        <v>875</v>
      </c>
      <c r="C102" s="822" t="s">
        <v>798</v>
      </c>
      <c r="D102" s="28" t="str">
        <f>IF(G102&lt;&gt;"rumus","SKS","")</f>
        <v>SKS</v>
      </c>
      <c r="E102" s="256" t="str">
        <f>IF(K102&lt;&gt;"rumus",(IF(OR(AND(L102="sks&gt;10",L101="sks&lt;=10",IFERROR(SUMPRODUCT($I$101:I101,$J$101:J101)&lt;10,FALSE)),AND(L102="sks&gt;10",L101="")),(((10-SUMPRODUCT($I$101:I101,$J$101:J101))&amp;" x "&amp;1)&amp;"
"&amp;(((I102*J102)-(10-SUMPRODUCT($I$101:I101,$J$101:J101)))&amp;" x "&amp;1)),(I102&amp;" x "&amp;J102))),"")</f>
        <v>4 x 2</v>
      </c>
      <c r="F102" s="256">
        <f>IF(K102&lt;&gt;"rumus",(IF(OR(AND(L102="sks&gt;10",L101="sks&lt;=10",IFERROR(SUMPRODUCT($I$101:I101,$J$101:J101)&lt;10,FALSE)),AND(L102="sks&gt;10",L101="")),((IF('LAMPIRAN I DONE'!$F$21="Tenaga Pengajar",0.5,IF(OR('LAMPIRAN I DONE'!$F$21="Asisten Ahli",'LAMPIRAN I DONE'!$F$21="Lektor",'LAMPIRAN I DONE'!$F$21="Lektor Kepala",'LAMPIRAN I DONE'!$F$21="Guru Besar"),1,"")))&amp;"
"&amp;(IF('LAMPIRAN I DONE'!$F$21="Tenaga Pengajar",0.25,IF(OR('LAMPIRAN I DONE'!$F$21="Asisten Ahli",'LAMPIRAN I DONE'!$F$21="Lektor",'LAMPIRAN I DONE'!$F$21="Lektor Kepala",'LAMPIRAN I DONE'!$F$21="Guru Besar"),0.5,"")))),((IF(OR(AND(L102="sks&gt;10",L101="sks&gt;10"),AND(L102="sks&gt;10",L101="sks&lt;=10")),IF('LAMPIRAN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f>
        <v>1</v>
      </c>
      <c r="G102" s="105" t="str">
        <f>IF(K102&lt;&gt;"rumus",(IF(OR(AND(L102="sks&gt;10",L101="sks&lt;=10",IFERROR(SUMPRODUCT($I$101:I101,$J$101:J101)&lt;10,FALSE)),AND(L102="sks&gt;10",L101="")),(((10-SUMPRODUCT($I$101:I101,$J$101:J101))&amp;" x "&amp;1&amp;" x "&amp;IF('LAMPIRAN I DONE'!$F$21="Tenaga Pengajar",0.5,IF(OR('LAMPIRAN I DONE'!$F$21="Asisten Ahli",'LAMPIRAN I DONE'!$F$21="Lektor",'LAMPIRAN I DONE'!$F$21="Lektor Kepala",'LAMPIRAN I DONE'!$F$21="Guru Besar"),1,""))&amp;" = "&amp;((10-SUMPRODUCT($I$101:I101,$J$101:J101))*IF('LAMPIRAN I DONE'!$F$21="Tenaga Pengajar",0.5,IF(OR('LAMPIRAN I DONE'!$F$21="Asisten Ahli",'LAMPIRAN I DONE'!$F$21="Lektor",'LAMPIRAN I DONE'!$F$21="Lektor Kepala",'LAMPIRAN I DONE'!$F$21="Guru Besar"),1,""))))&amp;"
"&amp;(((I102*J102)-(10-SUMPRODUCT($I$101:I101,$J$101:J101)))&amp;" x "&amp;1&amp;" x "&amp;IF('LAMPIRAN I DONE'!$F$21="Tenaga Pengajar",0.25,IF(OR('LAMPIRAN I DONE'!$F$21="Asisten Ahli",'LAMPIRAN I DONE'!$F$21="Lektor",'LAMPIRAN I DONE'!$F$21="Lektor Kepala",'LAMPIRAN I DONE'!$F$21="Guru Besar"),0.5,""))&amp;" = "&amp;(((I102*J102)-(10-SUMPRODUCT($I$101:I101,$J$101:J101)))*IF('LAMPIRAN I DONE'!$F$21="Tenaga Pengajar",0.25,IF(OR('LAMPIRAN I DONE'!$F$21="Asisten Ahli",'LAMPIRAN I DONE'!$F$21="Lektor",'LAMPIRAN I DONE'!$F$21="Lektor Kepala",'LAMPIRAN I DONE'!$F$21="Guru Besar"),0.5,""))))),(I102&amp;" x "&amp;J102&amp;" x "&amp;(IF(OR(AND(L102="sks&gt;10",L101="sks&gt;10"),AND(L102="sks&gt;10",L101="sks&lt;=10")),IF('LAMPIRAN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Besar"),1,""))))&amp;" = "&amp;K102))),"rumus")</f>
        <v>4 x 2 x 1 = 8</v>
      </c>
      <c r="H102" s="820" t="s">
        <v>883</v>
      </c>
      <c r="I102" s="824">
        <v>4</v>
      </c>
      <c r="J102" s="824">
        <v>2</v>
      </c>
      <c r="K102" s="27">
        <f>IF(AND(I102&lt;&gt;"",J102&lt;&gt;""),(IF(OR(AND(L102="sks&gt;10",L101="sks&lt;=10",IFERROR(SUMPRODUCT($I$101:I101,$J$101:J101)&lt;10,FALSE)),AND(L102="sks&gt;10",L101="")),(((10-SUMPRODUCT($I$101:I101,$J$101:J101))*IF('LAMPIRAN I DONE'!$F$21="Tenaga Pengajar",0.5,IF(OR('LAMPIRAN I DONE'!$F$21="Asisten Ahli",'LAMPIRAN I DONE'!$F$21="Lektor",'LAMPIRAN I DONE'!$F$21="Lektor Kepala",'LAMPIRAN I DONE'!$F$21="Guru Besar"),1,"")))+(((I102*J102)-(10-SUMPRODUCT($I$101:I101,$J$101:J101)))*IF('LAMPIRAN I DONE'!$F$21="Tenaga Pengajar",0.25,IF(OR('LAMPIRAN I DONE'!$F$21="Asisten Ahli",'LAMPIRAN I DONE'!$F$21="Lektor",'LAMPIRAN I DONE'!$F$21="Lektor Kepala",'LAMPIRAN I DONE'!$F$21="Guru Besar"),0.5,"")))),IF(OR(AND(L102="sks&gt;10",L101="sks&gt;10"),AND(L102="sks&gt;10",L101="sks&lt;=10")),I102*J102*IF('LAMPIRAN I DONE'!$F$21="Tenaga Pengajar",0.25,IF(OR('LAMPIRAN I DONE'!$F$21="Asisten Ahli",'LAMPIRAN I DONE'!$F$21="Lektor",'LAMPIRAN I DONE'!$F$21="Lektor Kepala",'LAMPIRAN I DONE'!$F$21="Guru Besar"),0.5,"")),I102*J102*IF('LAMPIRAN I DONE'!$F$21="Tenaga Pengajar",0.5,IF(OR('LAMPIRAN I DONE'!$F$21="Asisten Ahli",'LAMPIRAN I DONE'!$F$21="Lektor",'LAMPIRAN I DONE'!$F$21="Lektor Kepala",'LAMPIRAN I DONE'!$F$21="Guru Besar"),1,""))))),"rumus")</f>
        <v>8</v>
      </c>
      <c r="L102" s="27" t="str">
        <f>IF(AND(I102&lt;&gt;"",J102&lt;&gt;""),(IF(SUMPRODUCT($I$102:I102,$J$102:J102)&lt;=10,"SKS&lt;=10",IF(SUMPRODUCT($I$102:I102,$J$102:J102)&gt;10,"SKS&gt;10",""))),"rumus")</f>
        <v>SKS&lt;=10</v>
      </c>
    </row>
    <row r="103" spans="1:14" s="2" customFormat="1" ht="25.5" customHeight="1" x14ac:dyDescent="0.45">
      <c r="A103" s="67">
        <v>2</v>
      </c>
      <c r="B103" s="823" t="s">
        <v>873</v>
      </c>
      <c r="C103" s="822" t="s">
        <v>798</v>
      </c>
      <c r="D103" s="28" t="str">
        <f t="shared" ref="D103:D107" si="16">IF(G103&lt;&gt;"rumus","SKS","")</f>
        <v>SKS</v>
      </c>
      <c r="E103" s="256" t="str">
        <f>IF(K103&lt;&gt;"rumus",(IF(OR(AND(L103="sks&gt;10",L102="sks&lt;=10",IFERROR(SUMPRODUCT($I$101:I102,$J$101:J102)&lt;10,FALSE)),AND(L103="sks&gt;10",L102="")),(((10-SUMPRODUCT($I$101:I102,$J$101:J102))&amp;" x "&amp;1)&amp;"
"&amp;(((I103*J103)-(10-SUMPRODUCT($I$101:I102,$J$101:J102)))&amp;" x "&amp;1)),(I103&amp;" x "&amp;J103))),"")</f>
        <v>2 x 1
2 x 1</v>
      </c>
      <c r="F103" s="256" t="str">
        <f>IF(K103&lt;&gt;"rumus",(IF(OR(AND(L103="sks&gt;10",L102="sks&lt;=10",IFERROR(SUMPRODUCT($I$101:I102,$J$101:J102)&lt;10,FALSE)),AND(L103="sks&gt;10",L102="")),((IF('LAMPIRAN I DONE'!$F$21="Tenaga Pengajar",0.5,IF(OR('LAMPIRAN I DONE'!$F$21="Asisten Ahli",'LAMPIRAN I DONE'!$F$21="Lektor",'LAMPIRAN I DONE'!$F$21="Lektor Kepala",'LAMPIRAN I DONE'!$F$21="Guru Besar"),1,"")))&amp;"
"&amp;(IF('LAMPIRAN I DONE'!$F$21="Tenaga Pengajar",0.25,IF(OR('LAMPIRAN I DONE'!$F$21="Asisten Ahli",'LAMPIRAN I DONE'!$F$21="Lektor",'LAMPIRAN I DONE'!$F$21="Lektor Kepala",'LAMPIRAN I DONE'!$F$21="Guru Besar"),0.5,"")))),((IF(OR(AND(L103="sks&gt;10",L102="sks&gt;10"),AND(L103="sks&gt;10",L102="sks&lt;=10")),IF('LAMPIRAN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f>
        <v>1
0,5</v>
      </c>
      <c r="G103" s="105" t="str">
        <f>IF(K103&lt;&gt;"rumus",(IF(OR(AND(L103="sks&gt;10",L102="sks&lt;=10",IFERROR(SUMPRODUCT($I$101:I102,$J$101:J102)&lt;10,FALSE)),AND(L103="sks&gt;10",L102="")),(((10-SUMPRODUCT($I$101:I102,$J$101:J102))&amp;" x "&amp;1&amp;" x "&amp;IF('LAMPIRAN I DONE'!$F$21="Tenaga Pengajar",0.5,IF(OR('LAMPIRAN I DONE'!$F$21="Asisten Ahli",'LAMPIRAN I DONE'!$F$21="Lektor",'LAMPIRAN I DONE'!$F$21="Lektor Kepala",'LAMPIRAN I DONE'!$F$21="Guru Besar"),1,""))&amp;" = "&amp;((10-SUMPRODUCT($I$101:I102,$J$101:J102))*IF('LAMPIRAN I DONE'!$F$21="Tenaga Pengajar",0.5,IF(OR('LAMPIRAN I DONE'!$F$21="Asisten Ahli",'LAMPIRAN I DONE'!$F$21="Lektor",'LAMPIRAN I DONE'!$F$21="Lektor Kepala",'LAMPIRAN I DONE'!$F$21="Guru Besar"),1,""))))&amp;"
"&amp;(((I103*J103)-(10-SUMPRODUCT($I$101:I102,$J$101:J102)))&amp;" x "&amp;1&amp;" x "&amp;IF('LAMPIRAN I DONE'!$F$21="Tenaga Pengajar",0.25,IF(OR('LAMPIRAN I DONE'!$F$21="Asisten Ahli",'LAMPIRAN I DONE'!$F$21="Lektor",'LAMPIRAN I DONE'!$F$21="Lektor Kepala",'LAMPIRAN I DONE'!$F$21="Guru Besar"),0.5,""))&amp;" = "&amp;(((I103*J103)-(10-SUMPRODUCT($I$101:I102,$J$101:J102)))*IF('LAMPIRAN I DONE'!$F$21="Tenaga Pengajar",0.25,IF(OR('LAMPIRAN I DONE'!$F$21="Asisten Ahli",'LAMPIRAN I DONE'!$F$21="Lektor",'LAMPIRAN I DONE'!$F$21="Lektor Kepala",'LAMPIRAN I DONE'!$F$21="Guru Besar"),0.5,""))))),(I103&amp;" x "&amp;J103&amp;" x "&amp;(IF(OR(AND(L103="sks&gt;10",L102="sks&gt;10"),AND(L103="sks&gt;10",L102="sks&lt;=10")),IF('LAMPIRAN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Besar"),1,""))))&amp;" = "&amp;K103))),"rumus")</f>
        <v>2 x 1 x 1 = 2
2 x 1 x 0,5 = 1</v>
      </c>
      <c r="H103" s="820" t="s">
        <v>883</v>
      </c>
      <c r="I103" s="824">
        <v>4</v>
      </c>
      <c r="J103" s="824">
        <v>1</v>
      </c>
      <c r="K103" s="27">
        <f>IF(AND(I103&lt;&gt;"",J103&lt;&gt;""),(IF(OR(AND(L103="sks&gt;10",L102="sks&lt;=10",IFERROR(SUMPRODUCT($I$101:I102,$J$101:J102)&lt;10,FALSE)),AND(L103="sks&gt;10",L102="")),(((10-SUMPRODUCT($I$101:I102,$J$101:J102))*IF('LAMPIRAN I DONE'!$F$21="Tenaga Pengajar",0.5,IF(OR('LAMPIRAN I DONE'!$F$21="Asisten Ahli",'LAMPIRAN I DONE'!$F$21="Lektor",'LAMPIRAN I DONE'!$F$21="Lektor Kepala",'LAMPIRAN I DONE'!$F$21="Guru Besar"),1,"")))+(((I103*J103)-(10-SUMPRODUCT($I$101:I102,$J$101:J102)))*IF('LAMPIRAN I DONE'!$F$21="Tenaga Pengajar",0.25,IF(OR('LAMPIRAN I DONE'!$F$21="Asisten Ahli",'LAMPIRAN I DONE'!$F$21="Lektor",'LAMPIRAN I DONE'!$F$21="Lektor Kepala",'LAMPIRAN I DONE'!$F$21="Guru Besar"),0.5,"")))),IF(OR(AND(L103="sks&gt;10",L102="sks&gt;10"),AND(L103="sks&gt;10",L102="sks&lt;=10")),I103*J103*IF('LAMPIRAN I DONE'!$F$21="Tenaga Pengajar",0.25,IF(OR('LAMPIRAN I DONE'!$F$21="Asisten Ahli",'LAMPIRAN I DONE'!$F$21="Lektor",'LAMPIRAN I DONE'!$F$21="Lektor Kepala",'LAMPIRAN I DONE'!$F$21="Guru Besar"),0.5,"")),I103*J103*IF('LAMPIRAN I DONE'!$F$21="Tenaga Pengajar",0.5,IF(OR('LAMPIRAN I DONE'!$F$21="Asisten Ahli",'LAMPIRAN I DONE'!$F$21="Lektor",'LAMPIRAN I DONE'!$F$21="Lektor Kepala",'LAMPIRAN I DONE'!$F$21="Guru Besar"),1,""))))),"rumus")</f>
        <v>3</v>
      </c>
      <c r="L103" s="27" t="str">
        <f>IF(AND(I103&lt;&gt;"",J103&lt;&gt;""),(IF(SUMPRODUCT($I$102:I103,$J$102:J103)&lt;=10,"SKS&lt;=10",IF(SUMPRODUCT($I$102:I103,$J$102:J103)&gt;10,"SKS&gt;10",""))),"rumus")</f>
        <v>SKS&gt;10</v>
      </c>
    </row>
    <row r="104" spans="1:14" s="2" customFormat="1" ht="25.5" hidden="1" customHeight="1" x14ac:dyDescent="0.45">
      <c r="A104" s="67">
        <v>3</v>
      </c>
      <c r="B104" s="163" t="s">
        <v>81</v>
      </c>
      <c r="C104" s="822" t="s">
        <v>798</v>
      </c>
      <c r="D104" s="28" t="str">
        <f t="shared" si="16"/>
        <v/>
      </c>
      <c r="E104" s="256" t="str">
        <f>IF(K104&lt;&gt;"rumus",(IF(OR(AND(L104="sks&gt;10",L103="sks&lt;=10",IFERROR(SUMPRODUCT($I$101:I103,$J$101:J103)&lt;10,FALSE)),AND(L104="sks&gt;10",L103="")),(((10-SUMPRODUCT($I$101:I103,$J$101:J103))&amp;" x "&amp;1)&amp;"
"&amp;(((I104*J104)-(10-SUMPRODUCT($I$101:I103,$J$101:J103)))&amp;" x "&amp;1)),(I104&amp;" x "&amp;J104))),"")</f>
        <v/>
      </c>
      <c r="F104" s="256" t="str">
        <f>IF(K104&lt;&gt;"rumus",(IF(OR(AND(L104="sks&gt;10",L103="sks&lt;=10",IFERROR(SUMPRODUCT($I$101:I103,$J$101:J103)&lt;10,FALSE)),AND(L104="sks&gt;10",L103="")),((IF('LAMPIRAN I DONE'!$F$21="Tenaga Pengajar",0.5,IF(OR('LAMPIRAN I DONE'!$F$21="Asisten Ahli",'LAMPIRAN I DONE'!$F$21="Lektor",'LAMPIRAN I DONE'!$F$21="Lektor Kepala",'LAMPIRAN I DONE'!$F$21="Guru Besar"),1,"")))&amp;"
"&amp;(IF('LAMPIRAN I DONE'!$F$21="Tenaga Pengajar",0.25,IF(OR('LAMPIRAN I DONE'!$F$21="Asisten Ahli",'LAMPIRAN I DONE'!$F$21="Lektor",'LAMPIRAN I DONE'!$F$21="Lektor Kepala",'LAMPIRAN I DONE'!$F$21="Guru Besar"),0.5,"")))),((IF(OR(AND(L104="sks&gt;10",L103="sks&gt;10"),AND(L104="sks&gt;10",L103="sks&lt;=10")),IF('LAMPIRAN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f>
        <v/>
      </c>
      <c r="G104" s="105" t="str">
        <f>IF(K104&lt;&gt;"rumus",(IF(OR(AND(L104="sks&gt;10",L103="sks&lt;=10",IFERROR(SUMPRODUCT($I$101:I103,$J$101:J103)&lt;10,FALSE)),AND(L104="sks&gt;10",L103="")),(((10-SUMPRODUCT($I$101:I103,$J$101:J103))&amp;" x "&amp;1&amp;" x "&amp;IF('LAMPIRAN I DONE'!$F$21="Tenaga Pengajar",0.5,IF(OR('LAMPIRAN I DONE'!$F$21="Asisten Ahli",'LAMPIRAN I DONE'!$F$21="Lektor",'LAMPIRAN I DONE'!$F$21="Lektor Kepala",'LAMPIRAN I DONE'!$F$21="Guru Besar"),1,""))&amp;" = "&amp;((10-SUMPRODUCT($I$101:I103,$J$101:J103))*IF('LAMPIRAN I DONE'!$F$21="Tenaga Pengajar",0.5,IF(OR('LAMPIRAN I DONE'!$F$21="Asisten Ahli",'LAMPIRAN I DONE'!$F$21="Lektor",'LAMPIRAN I DONE'!$F$21="Lektor Kepala",'LAMPIRAN I DONE'!$F$21="Guru Besar"),1,""))))&amp;"
"&amp;(((I104*J104)-(10-SUMPRODUCT($I$101:I103,$J$101:J103)))&amp;" x "&amp;1&amp;" x "&amp;IF('LAMPIRAN I DONE'!$F$21="Tenaga Pengajar",0.25,IF(OR('LAMPIRAN I DONE'!$F$21="Asisten Ahli",'LAMPIRAN I DONE'!$F$21="Lektor",'LAMPIRAN I DONE'!$F$21="Lektor Kepala",'LAMPIRAN I DONE'!$F$21="Guru Besar"),0.5,""))&amp;" = "&amp;(((I104*J104)-(10-SUMPRODUCT($I$101:I103,$J$101:J103)))*IF('LAMPIRAN I DONE'!$F$21="Tenaga Pengajar",0.25,IF(OR('LAMPIRAN I DONE'!$F$21="Asisten Ahli",'LAMPIRAN I DONE'!$F$21="Lektor",'LAMPIRAN I DONE'!$F$21="Lektor Kepala",'LAMPIRAN I DONE'!$F$21="Guru Besar"),0.5,""))))),(I104&amp;" x "&amp;J104&amp;" x "&amp;(IF(OR(AND(L104="sks&gt;10",L103="sks&gt;10"),AND(L104="sks&gt;10",L103="sks&lt;=10")),IF('LAMPIRAN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Besar"),1,""))))&amp;" = "&amp;K104))),"rumus")</f>
        <v>rumus</v>
      </c>
      <c r="H104" s="820" t="s">
        <v>620</v>
      </c>
      <c r="I104" s="34"/>
      <c r="J104" s="34"/>
      <c r="K104" s="27" t="str">
        <f>IF(AND(I104&lt;&gt;"",J104&lt;&gt;""),(IF(OR(AND(L104="sks&gt;10",L103="sks&lt;=10",IFERROR(SUMPRODUCT($I$101:I103,$J$101:J103)&lt;10,FALSE)),AND(L104="sks&gt;10",L103="")),(((10-SUMPRODUCT($I$101:I103,$J$101:J103))*IF('LAMPIRAN I DONE'!$F$21="Tenaga Pengajar",0.5,IF(OR('LAMPIRAN I DONE'!$F$21="Asisten Ahli",'LAMPIRAN I DONE'!$F$21="Lektor",'LAMPIRAN I DONE'!$F$21="Lektor Kepala",'LAMPIRAN I DONE'!$F$21="Guru Besar"),1,"")))+(((I104*J104)-(10-SUMPRODUCT($I$101:I103,$J$101:J103)))*IF('LAMPIRAN I DONE'!$F$21="Tenaga Pengajar",0.25,IF(OR('LAMPIRAN I DONE'!$F$21="Asisten Ahli",'LAMPIRAN I DONE'!$F$21="Lektor",'LAMPIRAN I DONE'!$F$21="Lektor Kepala",'LAMPIRAN I DONE'!$F$21="Guru Besar"),0.5,"")))),IF(OR(AND(L104="sks&gt;10",L103="sks&gt;10"),AND(L104="sks&gt;10",L103="sks&lt;=10")),I104*J104*IF('LAMPIRAN I DONE'!$F$21="Tenaga Pengajar",0.25,IF(OR('LAMPIRAN I DONE'!$F$21="Asisten Ahli",'LAMPIRAN I DONE'!$F$21="Lektor",'LAMPIRAN I DONE'!$F$21="Lektor Kepala",'LAMPIRAN I DONE'!$F$21="Guru Besar"),0.5,"")),I104*J104*IF('LAMPIRAN I DONE'!$F$21="Tenaga Pengajar",0.5,IF(OR('LAMPIRAN I DONE'!$F$21="Asisten Ahli",'LAMPIRAN I DONE'!$F$21="Lektor",'LAMPIRAN I DONE'!$F$21="Lektor Kepala",'LAMPIRAN I DONE'!$F$21="Guru Besar"),1,""))))),"rumus")</f>
        <v>rumus</v>
      </c>
      <c r="L104" s="27" t="str">
        <f>IF(AND(I104&lt;&gt;"",J104&lt;&gt;""),(IF(SUMPRODUCT($I$102:I104,$J$102:J104)&lt;=10,"SKS&lt;=10",IF(SUMPRODUCT($I$102:I104,$J$102:J104)&gt;10,"SKS&gt;10",""))),"rumus")</f>
        <v>rumus</v>
      </c>
    </row>
    <row r="105" spans="1:14" s="2" customFormat="1" ht="25.5" hidden="1" customHeight="1" x14ac:dyDescent="0.45">
      <c r="A105" s="67">
        <v>4</v>
      </c>
      <c r="B105" s="163" t="s">
        <v>81</v>
      </c>
      <c r="C105" s="822" t="s">
        <v>798</v>
      </c>
      <c r="D105" s="28" t="str">
        <f t="shared" si="16"/>
        <v/>
      </c>
      <c r="E105" s="256" t="str">
        <f>IF(K105&lt;&gt;"rumus",(IF(OR(AND(L105="sks&gt;10",L104="sks&lt;=10",IFERROR(SUMPRODUCT($I$101:I104,$J$101:J104)&lt;10,FALSE)),AND(L105="sks&gt;10",L104="")),(((10-SUMPRODUCT($I$101:I104,$J$101:J104))&amp;" x "&amp;1)&amp;"
"&amp;(((I105*J105)-(10-SUMPRODUCT($I$101:I104,$J$101:J104)))&amp;" x "&amp;1)),(I105&amp;" x "&amp;J105))),"")</f>
        <v/>
      </c>
      <c r="F105" s="256" t="str">
        <f>IF(K105&lt;&gt;"rumus",(IF(OR(AND(L105="sks&gt;10",L104="sks&lt;=10",IFERROR(SUMPRODUCT($I$101:I104,$J$101:J104)&lt;10,FALSE)),AND(L105="sks&gt;10",L104="")),((IF('LAMPIRAN I DONE'!$F$21="Tenaga Pengajar",0.5,IF(OR('LAMPIRAN I DONE'!$F$21="Asisten Ahli",'LAMPIRAN I DONE'!$F$21="Lektor",'LAMPIRAN I DONE'!$F$21="Lektor Kepala",'LAMPIRAN I DONE'!$F$21="Guru Besar"),1,"")))&amp;"
"&amp;(IF('LAMPIRAN I DONE'!$F$21="Tenaga Pengajar",0.25,IF(OR('LAMPIRAN I DONE'!$F$21="Asisten Ahli",'LAMPIRAN I DONE'!$F$21="Lektor",'LAMPIRAN I DONE'!$F$21="Lektor Kepala",'LAMPIRAN I DONE'!$F$21="Guru Besar"),0.5,"")))),((IF(OR(AND(L105="sks&gt;10",L104="sks&gt;10"),AND(L105="sks&gt;10",L104="sks&lt;=10")),IF('LAMPIRAN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f>
        <v/>
      </c>
      <c r="G105" s="105" t="str">
        <f>IF(K105&lt;&gt;"rumus",(IF(OR(AND(L105="sks&gt;10",L104="sks&lt;=10",IFERROR(SUMPRODUCT($I$101:I104,$J$101:J104)&lt;10,FALSE)),AND(L105="sks&gt;10",L104="")),(((10-SUMPRODUCT($I$101:I104,$J$101:J104))&amp;" x "&amp;1&amp;" x "&amp;IF('LAMPIRAN I DONE'!$F$21="Tenaga Pengajar",0.5,IF(OR('LAMPIRAN I DONE'!$F$21="Asisten Ahli",'LAMPIRAN I DONE'!$F$21="Lektor",'LAMPIRAN I DONE'!$F$21="Lektor Kepala",'LAMPIRAN I DONE'!$F$21="Guru Besar"),1,""))&amp;" = "&amp;((10-SUMPRODUCT($I$101:I104,$J$101:J104))*IF('LAMPIRAN I DONE'!$F$21="Tenaga Pengajar",0.5,IF(OR('LAMPIRAN I DONE'!$F$21="Asisten Ahli",'LAMPIRAN I DONE'!$F$21="Lektor",'LAMPIRAN I DONE'!$F$21="Lektor Kepala",'LAMPIRAN I DONE'!$F$21="Guru Besar"),1,""))))&amp;"
"&amp;(((I105*J105)-(10-SUMPRODUCT($I$101:I104,$J$101:J104)))&amp;" x "&amp;1&amp;" x "&amp;IF('LAMPIRAN I DONE'!$F$21="Tenaga Pengajar",0.25,IF(OR('LAMPIRAN I DONE'!$F$21="Asisten Ahli",'LAMPIRAN I DONE'!$F$21="Lektor",'LAMPIRAN I DONE'!$F$21="Lektor Kepala",'LAMPIRAN I DONE'!$F$21="Guru Besar"),0.5,""))&amp;" = "&amp;(((I105*J105)-(10-SUMPRODUCT($I$101:I104,$J$101:J104)))*IF('LAMPIRAN I DONE'!$F$21="Tenaga Pengajar",0.25,IF(OR('LAMPIRAN I DONE'!$F$21="Asisten Ahli",'LAMPIRAN I DONE'!$F$21="Lektor",'LAMPIRAN I DONE'!$F$21="Lektor Kepala",'LAMPIRAN I DONE'!$F$21="Guru Besar"),0.5,""))))),(I105&amp;" x "&amp;J105&amp;" x "&amp;(IF(OR(AND(L105="sks&gt;10",L104="sks&gt;10"),AND(L105="sks&gt;10",L104="sks&lt;=10")),IF('LAMPIRAN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Besar"),1,""))))&amp;" = "&amp;K105))),"rumus")</f>
        <v>rumus</v>
      </c>
      <c r="H105" s="820" t="s">
        <v>620</v>
      </c>
      <c r="I105" s="34"/>
      <c r="J105" s="34"/>
      <c r="K105" s="27" t="str">
        <f>IF(AND(I105&lt;&gt;"",J105&lt;&gt;""),(IF(OR(AND(L105="sks&gt;10",L104="sks&lt;=10",IFERROR(SUMPRODUCT($I$101:I104,$J$101:J104)&lt;10,FALSE)),AND(L105="sks&gt;10",L104="")),(((10-SUMPRODUCT($I$101:I104,$J$101:J104))*IF('LAMPIRAN I DONE'!$F$21="Tenaga Pengajar",0.5,IF(OR('LAMPIRAN I DONE'!$F$21="Asisten Ahli",'LAMPIRAN I DONE'!$F$21="Lektor",'LAMPIRAN I DONE'!$F$21="Lektor Kepala",'LAMPIRAN I DONE'!$F$21="Guru Besar"),1,"")))+(((I105*J105)-(10-SUMPRODUCT($I$101:I104,$J$101:J104)))*IF('LAMPIRAN I DONE'!$F$21="Tenaga Pengajar",0.25,IF(OR('LAMPIRAN I DONE'!$F$21="Asisten Ahli",'LAMPIRAN I DONE'!$F$21="Lektor",'LAMPIRAN I DONE'!$F$21="Lektor Kepala",'LAMPIRAN I DONE'!$F$21="Guru Besar"),0.5,"")))),IF(OR(AND(L105="sks&gt;10",L104="sks&gt;10"),AND(L105="sks&gt;10",L104="sks&lt;=10")),I105*J105*IF('LAMPIRAN I DONE'!$F$21="Tenaga Pengajar",0.25,IF(OR('LAMPIRAN I DONE'!$F$21="Asisten Ahli",'LAMPIRAN I DONE'!$F$21="Lektor",'LAMPIRAN I DONE'!$F$21="Lektor Kepala",'LAMPIRAN I DONE'!$F$21="Guru Besar"),0.5,"")),I105*J105*IF('LAMPIRAN I DONE'!$F$21="Tenaga Pengajar",0.5,IF(OR('LAMPIRAN I DONE'!$F$21="Asisten Ahli",'LAMPIRAN I DONE'!$F$21="Lektor",'LAMPIRAN I DONE'!$F$21="Lektor Kepala",'LAMPIRAN I DONE'!$F$21="Guru Besar"),1,""))))),"rumus")</f>
        <v>rumus</v>
      </c>
      <c r="L105" s="27" t="str">
        <f>IF(AND(I105&lt;&gt;"",J105&lt;&gt;""),(IF(SUMPRODUCT($I$102:I105,$J$102:J105)&lt;=10,"SKS&lt;=10",IF(SUMPRODUCT($I$102:I105,$J$102:J105)&gt;10,"SKS&gt;10",""))),"rumus")</f>
        <v>rumus</v>
      </c>
    </row>
    <row r="106" spans="1:14" s="2" customFormat="1" ht="25.5" hidden="1" customHeight="1" x14ac:dyDescent="0.45">
      <c r="A106" s="67">
        <v>5</v>
      </c>
      <c r="B106" s="163" t="s">
        <v>81</v>
      </c>
      <c r="C106" s="822" t="s">
        <v>798</v>
      </c>
      <c r="D106" s="28" t="str">
        <f t="shared" si="16"/>
        <v/>
      </c>
      <c r="E106" s="256" t="str">
        <f>IF(K106&lt;&gt;"rumus",(IF(OR(AND(L106="sks&gt;10",L105="sks&lt;=10",IFERROR(SUMPRODUCT($I$101:I105,$J$101:J105)&lt;10,FALSE)),AND(L106="sks&gt;10",L105="")),(((10-SUMPRODUCT($I$101:I105,$J$101:J105))&amp;" x "&amp;1)&amp;"
"&amp;(((I106*J106)-(10-SUMPRODUCT($I$101:I105,$J$101:J105)))&amp;" x "&amp;1)),(I106&amp;" x "&amp;J106))),"")</f>
        <v/>
      </c>
      <c r="F106" s="256" t="str">
        <f>IF(K106&lt;&gt;"rumus",(IF(OR(AND(L106="sks&gt;10",L105="sks&lt;=10",IFERROR(SUMPRODUCT($I$101:I105,$J$101:J105)&lt;10,FALSE)),AND(L106="sks&gt;10",L105="")),((IF('LAMPIRAN I DONE'!$F$21="Tenaga Pengajar",0.5,IF(OR('LAMPIRAN I DONE'!$F$21="Asisten Ahli",'LAMPIRAN I DONE'!$F$21="Lektor",'LAMPIRAN I DONE'!$F$21="Lektor Kepala",'LAMPIRAN I DONE'!$F$21="Guru Besar"),1,"")))&amp;"
"&amp;(IF('LAMPIRAN I DONE'!$F$21="Tenaga Pengajar",0.25,IF(OR('LAMPIRAN I DONE'!$F$21="Asisten Ahli",'LAMPIRAN I DONE'!$F$21="Lektor",'LAMPIRAN I DONE'!$F$21="Lektor Kepala",'LAMPIRAN I DONE'!$F$21="Guru Besar"),0.5,"")))),((IF(OR(AND(L106="sks&gt;10",L105="sks&gt;10"),AND(L106="sks&gt;10",L105="sks&lt;=10")),IF('LAMPIRAN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f>
        <v/>
      </c>
      <c r="G106" s="105" t="str">
        <f>IF(K106&lt;&gt;"rumus",(IF(OR(AND(L106="sks&gt;10",L105="sks&lt;=10",IFERROR(SUMPRODUCT($I$101:I105,$J$101:J105)&lt;10,FALSE)),AND(L106="sks&gt;10",L105="")),(((10-SUMPRODUCT($I$101:I105,$J$101:J105))&amp;" x "&amp;1&amp;" x "&amp;IF('LAMPIRAN I DONE'!$F$21="Tenaga Pengajar",0.5,IF(OR('LAMPIRAN I DONE'!$F$21="Asisten Ahli",'LAMPIRAN I DONE'!$F$21="Lektor",'LAMPIRAN I DONE'!$F$21="Lektor Kepala",'LAMPIRAN I DONE'!$F$21="Guru Besar"),1,""))&amp;" = "&amp;((10-SUMPRODUCT($I$101:I105,$J$101:J105))*IF('LAMPIRAN I DONE'!$F$21="Tenaga Pengajar",0.5,IF(OR('LAMPIRAN I DONE'!$F$21="Asisten Ahli",'LAMPIRAN I DONE'!$F$21="Lektor",'LAMPIRAN I DONE'!$F$21="Lektor Kepala",'LAMPIRAN I DONE'!$F$21="Guru Besar"),1,""))))&amp;"
"&amp;(((I106*J106)-(10-SUMPRODUCT($I$101:I105,$J$101:J105)))&amp;" x "&amp;1&amp;" x "&amp;IF('LAMPIRAN I DONE'!$F$21="Tenaga Pengajar",0.25,IF(OR('LAMPIRAN I DONE'!$F$21="Asisten Ahli",'LAMPIRAN I DONE'!$F$21="Lektor",'LAMPIRAN I DONE'!$F$21="Lektor Kepala",'LAMPIRAN I DONE'!$F$21="Guru Besar"),0.5,""))&amp;" = "&amp;(((I106*J106)-(10-SUMPRODUCT($I$101:I105,$J$101:J105)))*IF('LAMPIRAN I DONE'!$F$21="Tenaga Pengajar",0.25,IF(OR('LAMPIRAN I DONE'!$F$21="Asisten Ahli",'LAMPIRAN I DONE'!$F$21="Lektor",'LAMPIRAN I DONE'!$F$21="Lektor Kepala",'LAMPIRAN I DONE'!$F$21="Guru Besar"),0.5,""))))),(I106&amp;" x "&amp;J106&amp;" x "&amp;(IF(OR(AND(L106="sks&gt;10",L105="sks&gt;10"),AND(L106="sks&gt;10",L105="sks&lt;=10")),IF('LAMPIRAN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Besar"),1,""))))&amp;" = "&amp;K106))),"rumus")</f>
        <v>rumus</v>
      </c>
      <c r="H106" s="820" t="s">
        <v>620</v>
      </c>
      <c r="I106" s="34"/>
      <c r="J106" s="34"/>
      <c r="K106" s="27" t="str">
        <f>IF(AND(I106&lt;&gt;"",J106&lt;&gt;""),(IF(OR(AND(L106="sks&gt;10",L105="sks&lt;=10",IFERROR(SUMPRODUCT($I$101:I105,$J$101:J105)&lt;10,FALSE)),AND(L106="sks&gt;10",L105="")),(((10-SUMPRODUCT($I$101:I105,$J$101:J105))*IF('LAMPIRAN I DONE'!$F$21="Tenaga Pengajar",0.5,IF(OR('LAMPIRAN I DONE'!$F$21="Asisten Ahli",'LAMPIRAN I DONE'!$F$21="Lektor",'LAMPIRAN I DONE'!$F$21="Lektor Kepala",'LAMPIRAN I DONE'!$F$21="Guru Besar"),1,"")))+(((I106*J106)-(10-SUMPRODUCT($I$101:I105,$J$101:J105)))*IF('LAMPIRAN I DONE'!$F$21="Tenaga Pengajar",0.25,IF(OR('LAMPIRAN I DONE'!$F$21="Asisten Ahli",'LAMPIRAN I DONE'!$F$21="Lektor",'LAMPIRAN I DONE'!$F$21="Lektor Kepala",'LAMPIRAN I DONE'!$F$21="Guru Besar"),0.5,"")))),IF(OR(AND(L106="sks&gt;10",L105="sks&gt;10"),AND(L106="sks&gt;10",L105="sks&lt;=10")),I106*J106*IF('LAMPIRAN I DONE'!$F$21="Tenaga Pengajar",0.25,IF(OR('LAMPIRAN I DONE'!$F$21="Asisten Ahli",'LAMPIRAN I DONE'!$F$21="Lektor",'LAMPIRAN I DONE'!$F$21="Lektor Kepala",'LAMPIRAN I DONE'!$F$21="Guru Besar"),0.5,"")),I106*J106*IF('LAMPIRAN I DONE'!$F$21="Tenaga Pengajar",0.5,IF(OR('LAMPIRAN I DONE'!$F$21="Asisten Ahli",'LAMPIRAN I DONE'!$F$21="Lektor",'LAMPIRAN I DONE'!$F$21="Lektor Kepala",'LAMPIRAN I DONE'!$F$21="Guru Besar"),1,""))))),"rumus")</f>
        <v>rumus</v>
      </c>
      <c r="L106" s="27" t="str">
        <f>IF(AND(I106&lt;&gt;"",J106&lt;&gt;""),(IF(SUMPRODUCT($I$102:I106,$J$102:J106)&lt;=10,"SKS&lt;=10",IF(SUMPRODUCT($I$102:I106,$J$102:J106)&gt;10,"SKS&gt;10",""))),"rumus")</f>
        <v>rumus</v>
      </c>
    </row>
    <row r="107" spans="1:14" s="2" customFormat="1" ht="25.5" hidden="1" customHeight="1" x14ac:dyDescent="0.45">
      <c r="A107" s="67">
        <v>6</v>
      </c>
      <c r="B107" s="163" t="s">
        <v>81</v>
      </c>
      <c r="C107" s="822" t="s">
        <v>798</v>
      </c>
      <c r="D107" s="28" t="str">
        <f t="shared" si="16"/>
        <v/>
      </c>
      <c r="E107" s="256" t="str">
        <f>IF(K107&lt;&gt;"rumus",(IF(OR(AND(L107="sks&gt;10",L106="sks&lt;=10",IFERROR(SUMPRODUCT($I$101:I106,$J$101:J106)&lt;10,FALSE)),AND(L107="sks&gt;10",L106="")),(((10-SUMPRODUCT($I$101:I106,$J$101:J106))&amp;" x "&amp;1)&amp;"
"&amp;(((I107*J107)-(10-SUMPRODUCT($I$101:I106,$J$101:J106)))&amp;" x "&amp;1)),(I107&amp;" x "&amp;J107))),"")</f>
        <v/>
      </c>
      <c r="F107" s="256" t="str">
        <f>IF(K107&lt;&gt;"rumus",(IF(OR(AND(L107="sks&gt;10",L106="sks&lt;=10",IFERROR(SUMPRODUCT($I$101:I106,$J$101:J106)&lt;10,FALSE)),AND(L107="sks&gt;10",L106="")),((IF('LAMPIRAN I DONE'!$F$21="Tenaga Pengajar",0.5,IF(OR('LAMPIRAN I DONE'!$F$21="Asisten Ahli",'LAMPIRAN I DONE'!$F$21="Lektor",'LAMPIRAN I DONE'!$F$21="Lektor Kepala",'LAMPIRAN I DONE'!$F$21="Guru Besar"),1,"")))&amp;"
"&amp;(IF('LAMPIRAN I DONE'!$F$21="Tenaga Pengajar",0.25,IF(OR('LAMPIRAN I DONE'!$F$21="Asisten Ahli",'LAMPIRAN I DONE'!$F$21="Lektor",'LAMPIRAN I DONE'!$F$21="Lektor Kepala",'LAMPIRAN I DONE'!$F$21="Guru Besar"),0.5,"")))),((IF(OR(AND(L107="sks&gt;10",L106="sks&gt;10"),AND(L107="sks&gt;10",L106="sks&lt;=10")),IF('LAMPIRAN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f>
        <v/>
      </c>
      <c r="G107" s="105" t="str">
        <f>IF(K107&lt;&gt;"rumus",(IF(OR(AND(L107="sks&gt;10",L106="sks&lt;=10",IFERROR(SUMPRODUCT($I$101:I106,$J$101:J106)&lt;10,FALSE)),AND(L107="sks&gt;10",L106="")),(((10-SUMPRODUCT($I$101:I106,$J$101:J106))&amp;" x "&amp;1&amp;" x "&amp;IF('LAMPIRAN I DONE'!$F$21="Tenaga Pengajar",0.5,IF(OR('LAMPIRAN I DONE'!$F$21="Asisten Ahli",'LAMPIRAN I DONE'!$F$21="Lektor",'LAMPIRAN I DONE'!$F$21="Lektor Kepala",'LAMPIRAN I DONE'!$F$21="Guru Besar"),1,""))&amp;" = "&amp;((10-SUMPRODUCT($I$101:I106,$J$101:J106))*IF('LAMPIRAN I DONE'!$F$21="Tenaga Pengajar",0.5,IF(OR('LAMPIRAN I DONE'!$F$21="Asisten Ahli",'LAMPIRAN I DONE'!$F$21="Lektor",'LAMPIRAN I DONE'!$F$21="Lektor Kepala",'LAMPIRAN I DONE'!$F$21="Guru Besar"),1,""))))&amp;"
"&amp;(((I107*J107)-(10-SUMPRODUCT($I$101:I106,$J$101:J106)))&amp;" x "&amp;1&amp;" x "&amp;IF('LAMPIRAN I DONE'!$F$21="Tenaga Pengajar",0.25,IF(OR('LAMPIRAN I DONE'!$F$21="Asisten Ahli",'LAMPIRAN I DONE'!$F$21="Lektor",'LAMPIRAN I DONE'!$F$21="Lektor Kepala",'LAMPIRAN I DONE'!$F$21="Guru Besar"),0.5,""))&amp;" = "&amp;(((I107*J107)-(10-SUMPRODUCT($I$101:I106,$J$101:J106)))*IF('LAMPIRAN I DONE'!$F$21="Tenaga Pengajar",0.25,IF(OR('LAMPIRAN I DONE'!$F$21="Asisten Ahli",'LAMPIRAN I DONE'!$F$21="Lektor",'LAMPIRAN I DONE'!$F$21="Lektor Kepala",'LAMPIRAN I DONE'!$F$21="Guru Besar"),0.5,""))))),(I107&amp;" x "&amp;J107&amp;" x "&amp;(IF(OR(AND(L107="sks&gt;10",L106="sks&gt;10"),AND(L107="sks&gt;10",L106="sks&lt;=10")),IF('LAMPIRAN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Besar"),1,""))))&amp;" = "&amp;K107))),"rumus")</f>
        <v>rumus</v>
      </c>
      <c r="H107" s="820" t="s">
        <v>620</v>
      </c>
      <c r="I107" s="34"/>
      <c r="J107" s="34"/>
      <c r="K107" s="27" t="str">
        <f>IF(AND(I107&lt;&gt;"",J107&lt;&gt;""),(IF(OR(AND(L107="sks&gt;10",L106="sks&lt;=10",IFERROR(SUMPRODUCT($I$101:I106,$J$101:J106)&lt;10,FALSE)),AND(L107="sks&gt;10",L106="")),(((10-SUMPRODUCT($I$101:I106,$J$101:J106))*IF('LAMPIRAN I DONE'!$F$21="Tenaga Pengajar",0.5,IF(OR('LAMPIRAN I DONE'!$F$21="Asisten Ahli",'LAMPIRAN I DONE'!$F$21="Lektor",'LAMPIRAN I DONE'!$F$21="Lektor Kepala",'LAMPIRAN I DONE'!$F$21="Guru Besar"),1,"")))+(((I107*J107)-(10-SUMPRODUCT($I$101:I106,$J$101:J106)))*IF('LAMPIRAN I DONE'!$F$21="Tenaga Pengajar",0.25,IF(OR('LAMPIRAN I DONE'!$F$21="Asisten Ahli",'LAMPIRAN I DONE'!$F$21="Lektor",'LAMPIRAN I DONE'!$F$21="Lektor Kepala",'LAMPIRAN I DONE'!$F$21="Guru Besar"),0.5,"")))),IF(OR(AND(L107="sks&gt;10",L106="sks&gt;10"),AND(L107="sks&gt;10",L106="sks&lt;=10")),I107*J107*IF('LAMPIRAN I DONE'!$F$21="Tenaga Pengajar",0.25,IF(OR('LAMPIRAN I DONE'!$F$21="Asisten Ahli",'LAMPIRAN I DONE'!$F$21="Lektor",'LAMPIRAN I DONE'!$F$21="Lektor Kepala",'LAMPIRAN I DONE'!$F$21="Guru Besar"),0.5,"")),I107*J107*IF('LAMPIRAN I DONE'!$F$21="Tenaga Pengajar",0.5,IF(OR('LAMPIRAN I DONE'!$F$21="Asisten Ahli",'LAMPIRAN I DONE'!$F$21="Lektor",'LAMPIRAN I DONE'!$F$21="Lektor Kepala",'LAMPIRAN I DONE'!$F$21="Guru Besar"),1,""))))),"rumus")</f>
        <v>rumus</v>
      </c>
      <c r="L107" s="27" t="str">
        <f>IF(AND(I107&lt;&gt;"",J107&lt;&gt;""),(IF(SUMPRODUCT($I$102:I107,$J$102:J107)&lt;=10,"SKS&lt;=10",IF(SUMPRODUCT($I$102:I107,$J$102:J107)&gt;10,"SKS&gt;10",""))),"rumus")</f>
        <v>rumus</v>
      </c>
    </row>
    <row r="108" spans="1:14" s="2" customFormat="1" ht="15" hidden="1" customHeight="1" x14ac:dyDescent="0.45">
      <c r="A108" s="67"/>
      <c r="B108" s="168" t="str">
        <f>"a. Semester Gasal "&amp;IF(C109&lt;&gt;"",C109,"")&amp;" :"</f>
        <v>a. Semester Gasal 2018/2019 :</v>
      </c>
      <c r="C108" s="30"/>
      <c r="D108" s="111"/>
      <c r="E108" s="111"/>
      <c r="F108" s="111"/>
      <c r="G108" s="111"/>
      <c r="H108" s="112"/>
      <c r="I108" s="496"/>
      <c r="J108" s="496"/>
      <c r="M108" s="104">
        <f>IF((AND(N108="Max 5,5",SUM(K102:K107)&lt;=5.5)),SUM(K102:K107),IF((AND(N108="Max 5,5",SUM(K102:K107)&gt;5.5)),5.5,IF((AND(N108="Max 11",SUM(K102:K107)&lt;=11)),SUM(K102:K107),IF((AND(N108="Max 11",SUM(K102:K107)&gt;11)),11,""))))</f>
        <v>11</v>
      </c>
      <c r="N108" s="33" t="str">
        <f>IF('LAMPIRAN I DONE'!$F$21="Tenaga Pengajar","Max 5,5",IF(OR('LAMPIRAN I DONE'!$F$21="Asisten Ahli",'LAMPIRAN I DONE'!$F$21="Lektor",'LAMPIRAN I DONE'!$F$21="Lektor Kepala",'LAMPIRAN I DONE'!$F$21="Guru Besar"),"Max 11",""))</f>
        <v>Max 11</v>
      </c>
    </row>
    <row r="109" spans="1:14" s="2" customFormat="1" ht="25.5" hidden="1" customHeight="1" x14ac:dyDescent="0.45">
      <c r="A109" s="67">
        <v>1</v>
      </c>
      <c r="B109" s="184" t="s">
        <v>81</v>
      </c>
      <c r="C109" s="28" t="s">
        <v>796</v>
      </c>
      <c r="D109" s="28" t="str">
        <f>IF(G109&lt;&gt;"rumus","SKS","")</f>
        <v/>
      </c>
      <c r="E109" s="256" t="str">
        <f>IF(K109&lt;&gt;"rumus",(IF(OR(AND(L109="sks&gt;10",L108="sks&lt;=10",IFERROR(SUMPRODUCT($I$108:I108,$J$108:J108)&lt;10,FALSE)),AND(L109="sks&gt;10",L108="")),(((10-SUMPRODUCT($I$108:I108,$J$108:J108))&amp;" x "&amp;1)&amp;"
"&amp;(((I109*J109)-(10-SUMPRODUCT($I$108:I108,$J$108:J108)))&amp;" x "&amp;1)),(I109&amp;" x "&amp;J109))),"")</f>
        <v/>
      </c>
      <c r="F109" s="256" t="str">
        <f>IF(K109&lt;&gt;"rumus",(IF(OR(AND(L109="sks&gt;10",L108="sks&lt;=10",IFERROR(SUMPRODUCT($I$108:I108,$J$108:J108)&lt;10,FALSE)),AND(L109="sks&gt;10",L108="")),((IF('LAMPIRAN I DONE'!$F$21="Tenaga Pengajar",0.5,IF(OR('LAMPIRAN I DONE'!$F$21="Asisten Ahli",'LAMPIRAN I DONE'!$F$21="Lektor",'LAMPIRAN I DONE'!$F$21="Lektor Kepala",'LAMPIRAN I DONE'!$F$21="Guru Besar"),1,"")))&amp;"
"&amp;(IF('LAMPIRAN I DONE'!$F$21="Tenaga Pengajar",0.25,IF(OR('LAMPIRAN I DONE'!$F$21="Asisten Ahli",'LAMPIRAN I DONE'!$F$21="Lektor",'LAMPIRAN I DONE'!$F$21="Lektor Kepala",'LAMPIRAN I DONE'!$F$21="Guru Besar"),0.5,"")))),((IF(OR(AND(L109="sks&gt;10",L108="sks&gt;10"),AND(L109="sks&gt;10",L108="sks&lt;=10")),IF('LAMPIRAN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f>
        <v/>
      </c>
      <c r="G109" s="105" t="str">
        <f>IF(K109&lt;&gt;"rumus",(IF(OR(AND(L109="sks&gt;10",L108="sks&lt;=10",IFERROR(SUMPRODUCT($I$108:I108,$J$108:J108)&lt;10,FALSE)),AND(L109="sks&gt;10",L108="")),(((10-SUMPRODUCT($I$108:I108,$J$108:J108))&amp;" x "&amp;1&amp;" x "&amp;IF('LAMPIRAN I DONE'!$F$21="Tenaga Pengajar",0.5,IF(OR('LAMPIRAN I DONE'!$F$21="Asisten Ahli",'LAMPIRAN I DONE'!$F$21="Lektor",'LAMPIRAN I DONE'!$F$21="Lektor Kepala",'LAMPIRAN I DONE'!$F$21="Guru Besar"),1,""))&amp;" = "&amp;((10-SUMPRODUCT($I$108:I108,$J$108:J108))*IF('LAMPIRAN I DONE'!$F$21="Tenaga Pengajar",0.5,IF(OR('LAMPIRAN I DONE'!$F$21="Asisten Ahli",'LAMPIRAN I DONE'!$F$21="Lektor",'LAMPIRAN I DONE'!$F$21="Lektor Kepala",'LAMPIRAN I DONE'!$F$21="Guru Besar"),1,""))))&amp;"
"&amp;(((I109*J109)-(10-SUMPRODUCT($I$108:I108,$J$108:J108)))&amp;" x "&amp;1&amp;" x "&amp;IF('LAMPIRAN I DONE'!$F$21="Tenaga Pengajar",0.25,IF(OR('LAMPIRAN I DONE'!$F$21="Asisten Ahli",'LAMPIRAN I DONE'!$F$21="Lektor",'LAMPIRAN I DONE'!$F$21="Lektor Kepala",'LAMPIRAN I DONE'!$F$21="Guru Besar"),0.5,""))&amp;" = "&amp;(((I109*J109)-(10-SUMPRODUCT($I$108:I108,$J$108:J108)))*IF('LAMPIRAN I DONE'!$F$21="Tenaga Pengajar",0.25,IF(OR('LAMPIRAN I DONE'!$F$21="Asisten Ahli",'LAMPIRAN I DONE'!$F$21="Lektor",'LAMPIRAN I DONE'!$F$21="Lektor Kepala",'LAMPIRAN I DONE'!$F$21="Guru Besar"),0.5,""))))),(I109&amp;" x "&amp;J109&amp;" x "&amp;(IF(OR(AND(L109="sks&gt;10",L108="sks&gt;10"),AND(L109="sks&gt;10",L108="sks&lt;=10")),IF('LAMPIRAN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Besar"),1,""))))&amp;" = "&amp;K109))),"rumus")</f>
        <v>rumus</v>
      </c>
      <c r="H109" s="820" t="s">
        <v>620</v>
      </c>
      <c r="I109" s="34"/>
      <c r="J109" s="34"/>
      <c r="K109" s="27" t="str">
        <f>IF(AND(I109&lt;&gt;"",J109&lt;&gt;""),(IF(OR(AND(L109="sks&gt;10",L108="sks&lt;=10",IFERROR(SUMPRODUCT($I$108:I108,$J$108:J108)&lt;10,FALSE)),AND(L109="sks&gt;10",L108="")),(((10-SUMPRODUCT($I$108:I108,$J$108:J108))*IF('LAMPIRAN I DONE'!$F$21="Tenaga Pengajar",0.5,IF(OR('LAMPIRAN I DONE'!$F$21="Asisten Ahli",'LAMPIRAN I DONE'!$F$21="Lektor",'LAMPIRAN I DONE'!$F$21="Lektor Kepala",'LAMPIRAN I DONE'!$F$21="Guru Besar"),1,"")))+(((I109*J109)-(10-SUMPRODUCT($I$108:I108,$J$108:J108)))*IF('LAMPIRAN I DONE'!$F$21="Tenaga Pengajar",0.25,IF(OR('LAMPIRAN I DONE'!$F$21="Asisten Ahli",'LAMPIRAN I DONE'!$F$21="Lektor",'LAMPIRAN I DONE'!$F$21="Lektor Kepala",'LAMPIRAN I DONE'!$F$21="Guru Besar"),0.5,"")))),IF(OR(AND(L109="sks&gt;10",L108="sks&gt;10"),AND(L109="sks&gt;10",L108="sks&lt;=10")),I109*J109*IF('LAMPIRAN I DONE'!$F$21="Tenaga Pengajar",0.25,IF(OR('LAMPIRAN I DONE'!$F$21="Asisten Ahli",'LAMPIRAN I DONE'!$F$21="Lektor",'LAMPIRAN I DONE'!$F$21="Lektor Kepala",'LAMPIRAN I DONE'!$F$21="Guru Besar"),0.5,"")),I109*J109*IF('LAMPIRAN I DONE'!$F$21="Tenaga Pengajar",0.5,IF(OR('LAMPIRAN I DONE'!$F$21="Asisten Ahli",'LAMPIRAN I DONE'!$F$21="Lektor",'LAMPIRAN I DONE'!$F$21="Lektor Kepala",'LAMPIRAN I DONE'!$F$21="Guru Besar"),1,""))))),"rumus")</f>
        <v>rumus</v>
      </c>
      <c r="L109" s="27" t="str">
        <f>IF(AND(I109&lt;&gt;"",J109&lt;&gt;""),(IF(SUMPRODUCT($I$109:I109,$J$109:J109)&lt;=10,"SKS&lt;=10",IF(SUMPRODUCT($I$109:I109,$J$109:J109)&gt;10,"SKS&gt;10",""))),"rumus")</f>
        <v>rumus</v>
      </c>
    </row>
    <row r="110" spans="1:14" s="2" customFormat="1" ht="25.5" hidden="1" customHeight="1" x14ac:dyDescent="0.45">
      <c r="A110" s="67">
        <v>2</v>
      </c>
      <c r="B110" s="184" t="s">
        <v>81</v>
      </c>
      <c r="C110" s="28" t="s">
        <v>796</v>
      </c>
      <c r="D110" s="28" t="str">
        <f t="shared" ref="D110:D114" si="17">IF(G110&lt;&gt;"rumus","SKS","")</f>
        <v/>
      </c>
      <c r="E110" s="256" t="str">
        <f>IF(K110&lt;&gt;"rumus",(IF(OR(AND(L110="sks&gt;10",L109="sks&lt;=10",IFERROR(SUMPRODUCT($I$108:I109,$J$108:J109)&lt;10,FALSE)),AND(L110="sks&gt;10",L109="")),(((10-SUMPRODUCT($I$108:I109,$J$108:J109))&amp;" x "&amp;1)&amp;"
"&amp;(((I110*J110)-(10-SUMPRODUCT($I$108:I109,$J$108:J109)))&amp;" x "&amp;1)),(I110&amp;" x "&amp;J110))),"")</f>
        <v/>
      </c>
      <c r="F110" s="256" t="str">
        <f>IF(K110&lt;&gt;"rumus",(IF(OR(AND(L110="sks&gt;10",L109="sks&lt;=10",IFERROR(SUMPRODUCT($I$108:I109,$J$108:J109)&lt;10,FALSE)),AND(L110="sks&gt;10",L109="")),((IF('LAMPIRAN I DONE'!$F$21="Tenaga Pengajar",0.5,IF(OR('LAMPIRAN I DONE'!$F$21="Asisten Ahli",'LAMPIRAN I DONE'!$F$21="Lektor",'LAMPIRAN I DONE'!$F$21="Lektor Kepala",'LAMPIRAN I DONE'!$F$21="Guru Besar"),1,"")))&amp;"
"&amp;(IF('LAMPIRAN I DONE'!$F$21="Tenaga Pengajar",0.25,IF(OR('LAMPIRAN I DONE'!$F$21="Asisten Ahli",'LAMPIRAN I DONE'!$F$21="Lektor",'LAMPIRAN I DONE'!$F$21="Lektor Kepala",'LAMPIRAN I DONE'!$F$21="Guru Besar"),0.5,"")))),((IF(OR(AND(L110="sks&gt;10",L109="sks&gt;10"),AND(L110="sks&gt;10",L109="sks&lt;=10")),IF('LAMPIRAN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f>
        <v/>
      </c>
      <c r="G110" s="105" t="str">
        <f>IF(K110&lt;&gt;"rumus",(IF(OR(AND(L110="sks&gt;10",L109="sks&lt;=10",IFERROR(SUMPRODUCT($I$108:I109,$J$108:J109)&lt;10,FALSE)),AND(L110="sks&gt;10",L109="")),(((10-SUMPRODUCT($I$108:I109,$J$108:J109))&amp;" x "&amp;1&amp;" x "&amp;IF('LAMPIRAN I DONE'!$F$21="Tenaga Pengajar",0.5,IF(OR('LAMPIRAN I DONE'!$F$21="Asisten Ahli",'LAMPIRAN I DONE'!$F$21="Lektor",'LAMPIRAN I DONE'!$F$21="Lektor Kepala",'LAMPIRAN I DONE'!$F$21="Guru Besar"),1,""))&amp;" = "&amp;((10-SUMPRODUCT($I$108:I109,$J$108:J109))*IF('LAMPIRAN I DONE'!$F$21="Tenaga Pengajar",0.5,IF(OR('LAMPIRAN I DONE'!$F$21="Asisten Ahli",'LAMPIRAN I DONE'!$F$21="Lektor",'LAMPIRAN I DONE'!$F$21="Lektor Kepala",'LAMPIRAN I DONE'!$F$21="Guru Besar"),1,""))))&amp;"
"&amp;(((I110*J110)-(10-SUMPRODUCT($I$108:I109,$J$108:J109)))&amp;" x "&amp;1&amp;" x "&amp;IF('LAMPIRAN I DONE'!$F$21="Tenaga Pengajar",0.25,IF(OR('LAMPIRAN I DONE'!$F$21="Asisten Ahli",'LAMPIRAN I DONE'!$F$21="Lektor",'LAMPIRAN I DONE'!$F$21="Lektor Kepala",'LAMPIRAN I DONE'!$F$21="Guru Besar"),0.5,""))&amp;" = "&amp;(((I110*J110)-(10-SUMPRODUCT($I$108:I109,$J$108:J109)))*IF('LAMPIRAN I DONE'!$F$21="Tenaga Pengajar",0.25,IF(OR('LAMPIRAN I DONE'!$F$21="Asisten Ahli",'LAMPIRAN I DONE'!$F$21="Lektor",'LAMPIRAN I DONE'!$F$21="Lektor Kepala",'LAMPIRAN I DONE'!$F$21="Guru Besar"),0.5,""))))),(I110&amp;" x "&amp;J110&amp;" x "&amp;(IF(OR(AND(L110="sks&gt;10",L109="sks&gt;10"),AND(L110="sks&gt;10",L109="sks&lt;=10")),IF('LAMPIRAN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Besar"),1,""))))&amp;" = "&amp;K110))),"rumus")</f>
        <v>rumus</v>
      </c>
      <c r="H110" s="820" t="s">
        <v>620</v>
      </c>
      <c r="I110" s="34"/>
      <c r="J110" s="34"/>
      <c r="K110" s="27" t="str">
        <f>IF(AND(I110&lt;&gt;"",J110&lt;&gt;""),(IF(OR(AND(L110="sks&gt;10",L109="sks&lt;=10",IFERROR(SUMPRODUCT($I$108:I109,$J$108:J109)&lt;10,FALSE)),AND(L110="sks&gt;10",L109="")),(((10-SUMPRODUCT($I$108:I109,$J$108:J109))*IF('LAMPIRAN I DONE'!$F$21="Tenaga Pengajar",0.5,IF(OR('LAMPIRAN I DONE'!$F$21="Asisten Ahli",'LAMPIRAN I DONE'!$F$21="Lektor",'LAMPIRAN I DONE'!$F$21="Lektor Kepala",'LAMPIRAN I DONE'!$F$21="Guru Besar"),1,"")))+(((I110*J110)-(10-SUMPRODUCT($I$108:I109,$J$108:J109)))*IF('LAMPIRAN I DONE'!$F$21="Tenaga Pengajar",0.25,IF(OR('LAMPIRAN I DONE'!$F$21="Asisten Ahli",'LAMPIRAN I DONE'!$F$21="Lektor",'LAMPIRAN I DONE'!$F$21="Lektor Kepala",'LAMPIRAN I DONE'!$F$21="Guru Besar"),0.5,"")))),IF(OR(AND(L110="sks&gt;10",L109="sks&gt;10"),AND(L110="sks&gt;10",L109="sks&lt;=10")),I110*J110*IF('LAMPIRAN I DONE'!$F$21="Tenaga Pengajar",0.25,IF(OR('LAMPIRAN I DONE'!$F$21="Asisten Ahli",'LAMPIRAN I DONE'!$F$21="Lektor",'LAMPIRAN I DONE'!$F$21="Lektor Kepala",'LAMPIRAN I DONE'!$F$21="Guru Besar"),0.5,"")),I110*J110*IF('LAMPIRAN I DONE'!$F$21="Tenaga Pengajar",0.5,IF(OR('LAMPIRAN I DONE'!$F$21="Asisten Ahli",'LAMPIRAN I DONE'!$F$21="Lektor",'LAMPIRAN I DONE'!$F$21="Lektor Kepala",'LAMPIRAN I DONE'!$F$21="Guru Besar"),1,""))))),"rumus")</f>
        <v>rumus</v>
      </c>
      <c r="L110" s="27" t="str">
        <f>IF(AND(I110&lt;&gt;"",J110&lt;&gt;""),(IF(SUMPRODUCT($I$109:I110,$J$109:J110)&lt;=10,"SKS&lt;=10",IF(SUMPRODUCT($I$109:I110,$J$109:J110)&gt;10,"SKS&gt;10",""))),"rumus")</f>
        <v>rumus</v>
      </c>
    </row>
    <row r="111" spans="1:14" s="2" customFormat="1" ht="25.5" hidden="1" customHeight="1" x14ac:dyDescent="0.45">
      <c r="A111" s="67">
        <v>3</v>
      </c>
      <c r="B111" s="184" t="s">
        <v>81</v>
      </c>
      <c r="C111" s="28" t="s">
        <v>796</v>
      </c>
      <c r="D111" s="28" t="str">
        <f t="shared" si="17"/>
        <v/>
      </c>
      <c r="E111" s="256" t="str">
        <f>IF(K111&lt;&gt;"rumus",(IF(OR(AND(L111="sks&gt;10",L110="sks&lt;=10",IFERROR(SUMPRODUCT($I$108:I110,$J$108:J110)&lt;10,FALSE)),AND(L111="sks&gt;10",L110="")),(((10-SUMPRODUCT($I$108:I110,$J$108:J110))&amp;" x "&amp;1)&amp;"
"&amp;(((I111*J111)-(10-SUMPRODUCT($I$108:I110,$J$108:J110)))&amp;" x "&amp;1)),(I111&amp;" x "&amp;J111))),"")</f>
        <v/>
      </c>
      <c r="F111" s="256" t="str">
        <f>IF(K111&lt;&gt;"rumus",(IF(OR(AND(L111="sks&gt;10",L110="sks&lt;=10",IFERROR(SUMPRODUCT($I$108:I110,$J$108:J110)&lt;10,FALSE)),AND(L111="sks&gt;10",L110="")),((IF('LAMPIRAN I DONE'!$F$21="Tenaga Pengajar",0.5,IF(OR('LAMPIRAN I DONE'!$F$21="Asisten Ahli",'LAMPIRAN I DONE'!$F$21="Lektor",'LAMPIRAN I DONE'!$F$21="Lektor Kepala",'LAMPIRAN I DONE'!$F$21="Guru Besar"),1,"")))&amp;"
"&amp;(IF('LAMPIRAN I DONE'!$F$21="Tenaga Pengajar",0.25,IF(OR('LAMPIRAN I DONE'!$F$21="Asisten Ahli",'LAMPIRAN I DONE'!$F$21="Lektor",'LAMPIRAN I DONE'!$F$21="Lektor Kepala",'LAMPIRAN I DONE'!$F$21="Guru Besar"),0.5,"")))),((IF(OR(AND(L111="sks&gt;10",L110="sks&gt;10"),AND(L111="sks&gt;10",L110="sks&lt;=10")),IF('LAMPIRAN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f>
        <v/>
      </c>
      <c r="G111" s="105" t="str">
        <f>IF(K111&lt;&gt;"rumus",(IF(OR(AND(L111="sks&gt;10",L110="sks&lt;=10",IFERROR(SUMPRODUCT($I$108:I110,$J$108:J110)&lt;10,FALSE)),AND(L111="sks&gt;10",L110="")),(((10-SUMPRODUCT($I$108:I110,$J$108:J110))&amp;" x "&amp;1&amp;" x "&amp;IF('LAMPIRAN I DONE'!$F$21="Tenaga Pengajar",0.5,IF(OR('LAMPIRAN I DONE'!$F$21="Asisten Ahli",'LAMPIRAN I DONE'!$F$21="Lektor",'LAMPIRAN I DONE'!$F$21="Lektor Kepala",'LAMPIRAN I DONE'!$F$21="Guru Besar"),1,""))&amp;" = "&amp;((10-SUMPRODUCT($I$108:I110,$J$108:J110))*IF('LAMPIRAN I DONE'!$F$21="Tenaga Pengajar",0.5,IF(OR('LAMPIRAN I DONE'!$F$21="Asisten Ahli",'LAMPIRAN I DONE'!$F$21="Lektor",'LAMPIRAN I DONE'!$F$21="Lektor Kepala",'LAMPIRAN I DONE'!$F$21="Guru Besar"),1,""))))&amp;"
"&amp;(((I111*J111)-(10-SUMPRODUCT($I$108:I110,$J$108:J110)))&amp;" x "&amp;1&amp;" x "&amp;IF('LAMPIRAN I DONE'!$F$21="Tenaga Pengajar",0.25,IF(OR('LAMPIRAN I DONE'!$F$21="Asisten Ahli",'LAMPIRAN I DONE'!$F$21="Lektor",'LAMPIRAN I DONE'!$F$21="Lektor Kepala",'LAMPIRAN I DONE'!$F$21="Guru Besar"),0.5,""))&amp;" = "&amp;(((I111*J111)-(10-SUMPRODUCT($I$108:I110,$J$108:J110)))*IF('LAMPIRAN I DONE'!$F$21="Tenaga Pengajar",0.25,IF(OR('LAMPIRAN I DONE'!$F$21="Asisten Ahli",'LAMPIRAN I DONE'!$F$21="Lektor",'LAMPIRAN I DONE'!$F$21="Lektor Kepala",'LAMPIRAN I DONE'!$F$21="Guru Besar"),0.5,""))))),(I111&amp;" x "&amp;J111&amp;" x "&amp;(IF(OR(AND(L111="sks&gt;10",L110="sks&gt;10"),AND(L111="sks&gt;10",L110="sks&lt;=10")),IF('LAMPIRAN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Besar"),1,""))))&amp;" = "&amp;K111))),"rumus")</f>
        <v>rumus</v>
      </c>
      <c r="H111" s="820" t="s">
        <v>620</v>
      </c>
      <c r="I111" s="34"/>
      <c r="J111" s="34"/>
      <c r="K111" s="27" t="str">
        <f>IF(AND(I111&lt;&gt;"",J111&lt;&gt;""),(IF(OR(AND(L111="sks&gt;10",L110="sks&lt;=10",IFERROR(SUMPRODUCT($I$108:I110,$J$108:J110)&lt;10,FALSE)),AND(L111="sks&gt;10",L110="")),(((10-SUMPRODUCT($I$108:I110,$J$108:J110))*IF('LAMPIRAN I DONE'!$F$21="Tenaga Pengajar",0.5,IF(OR('LAMPIRAN I DONE'!$F$21="Asisten Ahli",'LAMPIRAN I DONE'!$F$21="Lektor",'LAMPIRAN I DONE'!$F$21="Lektor Kepala",'LAMPIRAN I DONE'!$F$21="Guru Besar"),1,"")))+(((I111*J111)-(10-SUMPRODUCT($I$108:I110,$J$108:J110)))*IF('LAMPIRAN I DONE'!$F$21="Tenaga Pengajar",0.25,IF(OR('LAMPIRAN I DONE'!$F$21="Asisten Ahli",'LAMPIRAN I DONE'!$F$21="Lektor",'LAMPIRAN I DONE'!$F$21="Lektor Kepala",'LAMPIRAN I DONE'!$F$21="Guru Besar"),0.5,"")))),IF(OR(AND(L111="sks&gt;10",L110="sks&gt;10"),AND(L111="sks&gt;10",L110="sks&lt;=10")),I111*J111*IF('LAMPIRAN I DONE'!$F$21="Tenaga Pengajar",0.25,IF(OR('LAMPIRAN I DONE'!$F$21="Asisten Ahli",'LAMPIRAN I DONE'!$F$21="Lektor",'LAMPIRAN I DONE'!$F$21="Lektor Kepala",'LAMPIRAN I DONE'!$F$21="Guru Besar"),0.5,"")),I111*J111*IF('LAMPIRAN I DONE'!$F$21="Tenaga Pengajar",0.5,IF(OR('LAMPIRAN I DONE'!$F$21="Asisten Ahli",'LAMPIRAN I DONE'!$F$21="Lektor",'LAMPIRAN I DONE'!$F$21="Lektor Kepala",'LAMPIRAN I DONE'!$F$21="Guru Besar"),1,""))))),"rumus")</f>
        <v>rumus</v>
      </c>
      <c r="L111" s="27" t="str">
        <f>IF(AND(I111&lt;&gt;"",J111&lt;&gt;""),(IF(SUMPRODUCT($I$109:I111,$J$109:J111)&lt;=10,"SKS&lt;=10",IF(SUMPRODUCT($I$109:I111,$J$109:J111)&gt;10,"SKS&gt;10",""))),"rumus")</f>
        <v>rumus</v>
      </c>
    </row>
    <row r="112" spans="1:14" s="2" customFormat="1" ht="25.5" hidden="1" customHeight="1" x14ac:dyDescent="0.45">
      <c r="A112" s="67">
        <v>4</v>
      </c>
      <c r="B112" s="184" t="s">
        <v>81</v>
      </c>
      <c r="C112" s="28" t="s">
        <v>796</v>
      </c>
      <c r="D112" s="28" t="str">
        <f t="shared" si="17"/>
        <v/>
      </c>
      <c r="E112" s="256" t="str">
        <f>IF(K112&lt;&gt;"rumus",(IF(OR(AND(L112="sks&gt;10",L111="sks&lt;=10",IFERROR(SUMPRODUCT($I$108:I111,$J$108:J111)&lt;10,FALSE)),AND(L112="sks&gt;10",L111="")),(((10-SUMPRODUCT($I$108:I111,$J$108:J111))&amp;" x "&amp;1)&amp;"
"&amp;(((I112*J112)-(10-SUMPRODUCT($I$108:I111,$J$108:J111)))&amp;" x "&amp;1)),(I112&amp;" x "&amp;J112))),"")</f>
        <v/>
      </c>
      <c r="F112" s="256" t="str">
        <f>IF(K112&lt;&gt;"rumus",(IF(OR(AND(L112="sks&gt;10",L111="sks&lt;=10",IFERROR(SUMPRODUCT($I$108:I111,$J$108:J111)&lt;10,FALSE)),AND(L112="sks&gt;10",L111="")),((IF('LAMPIRAN I DONE'!$F$21="Tenaga Pengajar",0.5,IF(OR('LAMPIRAN I DONE'!$F$21="Asisten Ahli",'LAMPIRAN I DONE'!$F$21="Lektor",'LAMPIRAN I DONE'!$F$21="Lektor Kepala",'LAMPIRAN I DONE'!$F$21="Guru Besar"),1,"")))&amp;"
"&amp;(IF('LAMPIRAN I DONE'!$F$21="Tenaga Pengajar",0.25,IF(OR('LAMPIRAN I DONE'!$F$21="Asisten Ahli",'LAMPIRAN I DONE'!$F$21="Lektor",'LAMPIRAN I DONE'!$F$21="Lektor Kepala",'LAMPIRAN I DONE'!$F$21="Guru Besar"),0.5,"")))),((IF(OR(AND(L112="sks&gt;10",L111="sks&gt;10"),AND(L112="sks&gt;10",L111="sks&lt;=10")),IF('LAMPIRAN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f>
        <v/>
      </c>
      <c r="G112" s="105" t="str">
        <f>IF(K112&lt;&gt;"rumus",(IF(OR(AND(L112="sks&gt;10",L111="sks&lt;=10",IFERROR(SUMPRODUCT($I$108:I111,$J$108:J111)&lt;10,FALSE)),AND(L112="sks&gt;10",L111="")),(((10-SUMPRODUCT($I$108:I111,$J$108:J111))&amp;" x "&amp;1&amp;" x "&amp;IF('LAMPIRAN I DONE'!$F$21="Tenaga Pengajar",0.5,IF(OR('LAMPIRAN I DONE'!$F$21="Asisten Ahli",'LAMPIRAN I DONE'!$F$21="Lektor",'LAMPIRAN I DONE'!$F$21="Lektor Kepala",'LAMPIRAN I DONE'!$F$21="Guru Besar"),1,""))&amp;" = "&amp;((10-SUMPRODUCT($I$108:I111,$J$108:J111))*IF('LAMPIRAN I DONE'!$F$21="Tenaga Pengajar",0.5,IF(OR('LAMPIRAN I DONE'!$F$21="Asisten Ahli",'LAMPIRAN I DONE'!$F$21="Lektor",'LAMPIRAN I DONE'!$F$21="Lektor Kepala",'LAMPIRAN I DONE'!$F$21="Guru Besar"),1,""))))&amp;"
"&amp;(((I112*J112)-(10-SUMPRODUCT($I$108:I111,$J$108:J111)))&amp;" x "&amp;1&amp;" x "&amp;IF('LAMPIRAN I DONE'!$F$21="Tenaga Pengajar",0.25,IF(OR('LAMPIRAN I DONE'!$F$21="Asisten Ahli",'LAMPIRAN I DONE'!$F$21="Lektor",'LAMPIRAN I DONE'!$F$21="Lektor Kepala",'LAMPIRAN I DONE'!$F$21="Guru Besar"),0.5,""))&amp;" = "&amp;(((I112*J112)-(10-SUMPRODUCT($I$108:I111,$J$108:J111)))*IF('LAMPIRAN I DONE'!$F$21="Tenaga Pengajar",0.25,IF(OR('LAMPIRAN I DONE'!$F$21="Asisten Ahli",'LAMPIRAN I DONE'!$F$21="Lektor",'LAMPIRAN I DONE'!$F$21="Lektor Kepala",'LAMPIRAN I DONE'!$F$21="Guru Besar"),0.5,""))))),(I112&amp;" x "&amp;J112&amp;" x "&amp;(IF(OR(AND(L112="sks&gt;10",L111="sks&gt;10"),AND(L112="sks&gt;10",L111="sks&lt;=10")),IF('LAMPIRAN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Besar"),1,""))))&amp;" = "&amp;K112))),"rumus")</f>
        <v>rumus</v>
      </c>
      <c r="H112" s="820" t="s">
        <v>620</v>
      </c>
      <c r="I112" s="34"/>
      <c r="J112" s="34"/>
      <c r="K112" s="27" t="str">
        <f>IF(AND(I112&lt;&gt;"",J112&lt;&gt;""),(IF(OR(AND(L112="sks&gt;10",L111="sks&lt;=10",IFERROR(SUMPRODUCT($I$108:I111,$J$108:J111)&lt;10,FALSE)),AND(L112="sks&gt;10",L111="")),(((10-SUMPRODUCT($I$108:I111,$J$108:J111))*IF('LAMPIRAN I DONE'!$F$21="Tenaga Pengajar",0.5,IF(OR('LAMPIRAN I DONE'!$F$21="Asisten Ahli",'LAMPIRAN I DONE'!$F$21="Lektor",'LAMPIRAN I DONE'!$F$21="Lektor Kepala",'LAMPIRAN I DONE'!$F$21="Guru Besar"),1,"")))+(((I112*J112)-(10-SUMPRODUCT($I$108:I111,$J$108:J111)))*IF('LAMPIRAN I DONE'!$F$21="Tenaga Pengajar",0.25,IF(OR('LAMPIRAN I DONE'!$F$21="Asisten Ahli",'LAMPIRAN I DONE'!$F$21="Lektor",'LAMPIRAN I DONE'!$F$21="Lektor Kepala",'LAMPIRAN I DONE'!$F$21="Guru Besar"),0.5,"")))),IF(OR(AND(L112="sks&gt;10",L111="sks&gt;10"),AND(L112="sks&gt;10",L111="sks&lt;=10")),I112*J112*IF('LAMPIRAN I DONE'!$F$21="Tenaga Pengajar",0.25,IF(OR('LAMPIRAN I DONE'!$F$21="Asisten Ahli",'LAMPIRAN I DONE'!$F$21="Lektor",'LAMPIRAN I DONE'!$F$21="Lektor Kepala",'LAMPIRAN I DONE'!$F$21="Guru Besar"),0.5,"")),I112*J112*IF('LAMPIRAN I DONE'!$F$21="Tenaga Pengajar",0.5,IF(OR('LAMPIRAN I DONE'!$F$21="Asisten Ahli",'LAMPIRAN I DONE'!$F$21="Lektor",'LAMPIRAN I DONE'!$F$21="Lektor Kepala",'LAMPIRAN I DONE'!$F$21="Guru Besar"),1,""))))),"rumus")</f>
        <v>rumus</v>
      </c>
      <c r="L112" s="27" t="str">
        <f>IF(AND(I112&lt;&gt;"",J112&lt;&gt;""),(IF(SUMPRODUCT($I$109:I112,$J$109:J112)&lt;=10,"SKS&lt;=10",IF(SUMPRODUCT($I$109:I112,$J$109:J112)&gt;10,"SKS&gt;10",""))),"rumus")</f>
        <v>rumus</v>
      </c>
    </row>
    <row r="113" spans="1:14" s="2" customFormat="1" ht="25.5" hidden="1" customHeight="1" x14ac:dyDescent="0.45">
      <c r="A113" s="67">
        <v>5</v>
      </c>
      <c r="B113" s="184" t="s">
        <v>81</v>
      </c>
      <c r="C113" s="28" t="s">
        <v>796</v>
      </c>
      <c r="D113" s="28" t="str">
        <f t="shared" si="17"/>
        <v/>
      </c>
      <c r="E113" s="256" t="str">
        <f>IF(K113&lt;&gt;"rumus",(IF(OR(AND(L113="sks&gt;10",L112="sks&lt;=10",IFERROR(SUMPRODUCT($I$108:I112,$J$108:J112)&lt;10,FALSE)),AND(L113="sks&gt;10",L112="")),(((10-SUMPRODUCT($I$108:I112,$J$108:J112))&amp;" x "&amp;1)&amp;"
"&amp;(((I113*J113)-(10-SUMPRODUCT($I$108:I112,$J$108:J112)))&amp;" x "&amp;1)),(I113&amp;" x "&amp;J113))),"")</f>
        <v/>
      </c>
      <c r="F113" s="256" t="str">
        <f>IF(K113&lt;&gt;"rumus",(IF(OR(AND(L113="sks&gt;10",L112="sks&lt;=10",IFERROR(SUMPRODUCT($I$108:I112,$J$108:J112)&lt;10,FALSE)),AND(L113="sks&gt;10",L112="")),((IF('LAMPIRAN I DONE'!$F$21="Tenaga Pengajar",0.5,IF(OR('LAMPIRAN I DONE'!$F$21="Asisten Ahli",'LAMPIRAN I DONE'!$F$21="Lektor",'LAMPIRAN I DONE'!$F$21="Lektor Kepala",'LAMPIRAN I DONE'!$F$21="Guru Besar"),1,"")))&amp;"
"&amp;(IF('LAMPIRAN I DONE'!$F$21="Tenaga Pengajar",0.25,IF(OR('LAMPIRAN I DONE'!$F$21="Asisten Ahli",'LAMPIRAN I DONE'!$F$21="Lektor",'LAMPIRAN I DONE'!$F$21="Lektor Kepala",'LAMPIRAN I DONE'!$F$21="Guru Besar"),0.5,"")))),((IF(OR(AND(L113="sks&gt;10",L112="sks&gt;10"),AND(L113="sks&gt;10",L112="sks&lt;=10")),IF('LAMPIRAN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f>
        <v/>
      </c>
      <c r="G113" s="105" t="str">
        <f>IF(K113&lt;&gt;"rumus",(IF(OR(AND(L113="sks&gt;10",L112="sks&lt;=10",IFERROR(SUMPRODUCT($I$108:I112,$J$108:J112)&lt;10,FALSE)),AND(L113="sks&gt;10",L112="")),(((10-SUMPRODUCT($I$108:I112,$J$108:J112))&amp;" x "&amp;1&amp;" x "&amp;IF('LAMPIRAN I DONE'!$F$21="Tenaga Pengajar",0.5,IF(OR('LAMPIRAN I DONE'!$F$21="Asisten Ahli",'LAMPIRAN I DONE'!$F$21="Lektor",'LAMPIRAN I DONE'!$F$21="Lektor Kepala",'LAMPIRAN I DONE'!$F$21="Guru Besar"),1,""))&amp;" = "&amp;((10-SUMPRODUCT($I$108:I112,$J$108:J112))*IF('LAMPIRAN I DONE'!$F$21="Tenaga Pengajar",0.5,IF(OR('LAMPIRAN I DONE'!$F$21="Asisten Ahli",'LAMPIRAN I DONE'!$F$21="Lektor",'LAMPIRAN I DONE'!$F$21="Lektor Kepala",'LAMPIRAN I DONE'!$F$21="Guru Besar"),1,""))))&amp;"
"&amp;(((I113*J113)-(10-SUMPRODUCT($I$108:I112,$J$108:J112)))&amp;" x "&amp;1&amp;" x "&amp;IF('LAMPIRAN I DONE'!$F$21="Tenaga Pengajar",0.25,IF(OR('LAMPIRAN I DONE'!$F$21="Asisten Ahli",'LAMPIRAN I DONE'!$F$21="Lektor",'LAMPIRAN I DONE'!$F$21="Lektor Kepala",'LAMPIRAN I DONE'!$F$21="Guru Besar"),0.5,""))&amp;" = "&amp;(((I113*J113)-(10-SUMPRODUCT($I$108:I112,$J$108:J112)))*IF('LAMPIRAN I DONE'!$F$21="Tenaga Pengajar",0.25,IF(OR('LAMPIRAN I DONE'!$F$21="Asisten Ahli",'LAMPIRAN I DONE'!$F$21="Lektor",'LAMPIRAN I DONE'!$F$21="Lektor Kepala",'LAMPIRAN I DONE'!$F$21="Guru Besar"),0.5,""))))),(I113&amp;" x "&amp;J113&amp;" x "&amp;(IF(OR(AND(L113="sks&gt;10",L112="sks&gt;10"),AND(L113="sks&gt;10",L112="sks&lt;=10")),IF('LAMPIRAN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Besar"),1,""))))&amp;" = "&amp;K113))),"rumus")</f>
        <v>rumus</v>
      </c>
      <c r="H113" s="820" t="s">
        <v>620</v>
      </c>
      <c r="I113" s="34"/>
      <c r="J113" s="34"/>
      <c r="K113" s="27" t="str">
        <f>IF(AND(I113&lt;&gt;"",J113&lt;&gt;""),(IF(OR(AND(L113="sks&gt;10",L112="sks&lt;=10",IFERROR(SUMPRODUCT($I$108:I112,$J$108:J112)&lt;10,FALSE)),AND(L113="sks&gt;10",L112="")),(((10-SUMPRODUCT($I$108:I112,$J$108:J112))*IF('LAMPIRAN I DONE'!$F$21="Tenaga Pengajar",0.5,IF(OR('LAMPIRAN I DONE'!$F$21="Asisten Ahli",'LAMPIRAN I DONE'!$F$21="Lektor",'LAMPIRAN I DONE'!$F$21="Lektor Kepala",'LAMPIRAN I DONE'!$F$21="Guru Besar"),1,"")))+(((I113*J113)-(10-SUMPRODUCT($I$108:I112,$J$108:J112)))*IF('LAMPIRAN I DONE'!$F$21="Tenaga Pengajar",0.25,IF(OR('LAMPIRAN I DONE'!$F$21="Asisten Ahli",'LAMPIRAN I DONE'!$F$21="Lektor",'LAMPIRAN I DONE'!$F$21="Lektor Kepala",'LAMPIRAN I DONE'!$F$21="Guru Besar"),0.5,"")))),IF(OR(AND(L113="sks&gt;10",L112="sks&gt;10"),AND(L113="sks&gt;10",L112="sks&lt;=10")),I113*J113*IF('LAMPIRAN I DONE'!$F$21="Tenaga Pengajar",0.25,IF(OR('LAMPIRAN I DONE'!$F$21="Asisten Ahli",'LAMPIRAN I DONE'!$F$21="Lektor",'LAMPIRAN I DONE'!$F$21="Lektor Kepala",'LAMPIRAN I DONE'!$F$21="Guru Besar"),0.5,"")),I113*J113*IF('LAMPIRAN I DONE'!$F$21="Tenaga Pengajar",0.5,IF(OR('LAMPIRAN I DONE'!$F$21="Asisten Ahli",'LAMPIRAN I DONE'!$F$21="Lektor",'LAMPIRAN I DONE'!$F$21="Lektor Kepala",'LAMPIRAN I DONE'!$F$21="Guru Besar"),1,""))))),"rumus")</f>
        <v>rumus</v>
      </c>
      <c r="L113" s="27" t="str">
        <f>IF(AND(I113&lt;&gt;"",J113&lt;&gt;""),(IF(SUMPRODUCT($I$109:I113,$J$109:J113)&lt;=10,"SKS&lt;=10",IF(SUMPRODUCT($I$109:I113,$J$109:J113)&gt;10,"SKS&gt;10",""))),"rumus")</f>
        <v>rumus</v>
      </c>
    </row>
    <row r="114" spans="1:14" s="2" customFormat="1" ht="25.5" hidden="1" customHeight="1" x14ac:dyDescent="0.45">
      <c r="A114" s="67">
        <v>6</v>
      </c>
      <c r="B114" s="184" t="s">
        <v>81</v>
      </c>
      <c r="C114" s="28" t="s">
        <v>796</v>
      </c>
      <c r="D114" s="28" t="str">
        <f t="shared" si="17"/>
        <v/>
      </c>
      <c r="E114" s="256" t="str">
        <f>IF(K114&lt;&gt;"rumus",(IF(OR(AND(L114="sks&gt;10",L113="sks&lt;=10",IFERROR(SUMPRODUCT($I$108:I113,$J$108:J113)&lt;10,FALSE)),AND(L114="sks&gt;10",L113="")),(((10-SUMPRODUCT($I$108:I113,$J$108:J113))&amp;" x "&amp;1)&amp;"
"&amp;(((I114*J114)-(10-SUMPRODUCT($I$108:I113,$J$108:J113)))&amp;" x "&amp;1)),(I114&amp;" x "&amp;J114))),"")</f>
        <v/>
      </c>
      <c r="F114" s="256" t="str">
        <f>IF(K114&lt;&gt;"rumus",(IF(OR(AND(L114="sks&gt;10",L113="sks&lt;=10",IFERROR(SUMPRODUCT($I$108:I113,$J$108:J113)&lt;10,FALSE)),AND(L114="sks&gt;10",L113="")),((IF('LAMPIRAN I DONE'!$F$21="Tenaga Pengajar",0.5,IF(OR('LAMPIRAN I DONE'!$F$21="Asisten Ahli",'LAMPIRAN I DONE'!$F$21="Lektor",'LAMPIRAN I DONE'!$F$21="Lektor Kepala",'LAMPIRAN I DONE'!$F$21="Guru Besar"),1,"")))&amp;"
"&amp;(IF('LAMPIRAN I DONE'!$F$21="Tenaga Pengajar",0.25,IF(OR('LAMPIRAN I DONE'!$F$21="Asisten Ahli",'LAMPIRAN I DONE'!$F$21="Lektor",'LAMPIRAN I DONE'!$F$21="Lektor Kepala",'LAMPIRAN I DONE'!$F$21="Guru Besar"),0.5,"")))),((IF(OR(AND(L114="sks&gt;10",L113="sks&gt;10"),AND(L114="sks&gt;10",L113="sks&lt;=10")),IF('LAMPIRAN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f>
        <v/>
      </c>
      <c r="G114" s="105" t="str">
        <f>IF(K114&lt;&gt;"rumus",(IF(OR(AND(L114="sks&gt;10",L113="sks&lt;=10",IFERROR(SUMPRODUCT($I$108:I113,$J$108:J113)&lt;10,FALSE)),AND(L114="sks&gt;10",L113="")),(((10-SUMPRODUCT($I$108:I113,$J$108:J113))&amp;" x "&amp;1&amp;" x "&amp;IF('LAMPIRAN I DONE'!$F$21="Tenaga Pengajar",0.5,IF(OR('LAMPIRAN I DONE'!$F$21="Asisten Ahli",'LAMPIRAN I DONE'!$F$21="Lektor",'LAMPIRAN I DONE'!$F$21="Lektor Kepala",'LAMPIRAN I DONE'!$F$21="Guru Besar"),1,""))&amp;" = "&amp;((10-SUMPRODUCT($I$108:I113,$J$108:J113))*IF('LAMPIRAN I DONE'!$F$21="Tenaga Pengajar",0.5,IF(OR('LAMPIRAN I DONE'!$F$21="Asisten Ahli",'LAMPIRAN I DONE'!$F$21="Lektor",'LAMPIRAN I DONE'!$F$21="Lektor Kepala",'LAMPIRAN I DONE'!$F$21="Guru Besar"),1,""))))&amp;"
"&amp;(((I114*J114)-(10-SUMPRODUCT($I$108:I113,$J$108:J113)))&amp;" x "&amp;1&amp;" x "&amp;IF('LAMPIRAN I DONE'!$F$21="Tenaga Pengajar",0.25,IF(OR('LAMPIRAN I DONE'!$F$21="Asisten Ahli",'LAMPIRAN I DONE'!$F$21="Lektor",'LAMPIRAN I DONE'!$F$21="Lektor Kepala",'LAMPIRAN I DONE'!$F$21="Guru Besar"),0.5,""))&amp;" = "&amp;(((I114*J114)-(10-SUMPRODUCT($I$108:I113,$J$108:J113)))*IF('LAMPIRAN I DONE'!$F$21="Tenaga Pengajar",0.25,IF(OR('LAMPIRAN I DONE'!$F$21="Asisten Ahli",'LAMPIRAN I DONE'!$F$21="Lektor",'LAMPIRAN I DONE'!$F$21="Lektor Kepala",'LAMPIRAN I DONE'!$F$21="Guru Besar"),0.5,""))))),(I114&amp;" x "&amp;J114&amp;" x "&amp;(IF(OR(AND(L114="sks&gt;10",L113="sks&gt;10"),AND(L114="sks&gt;10",L113="sks&lt;=10")),IF('LAMPIRAN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Besar"),1,""))))&amp;" = "&amp;K114))),"rumus")</f>
        <v>rumus</v>
      </c>
      <c r="H114" s="820" t="s">
        <v>620</v>
      </c>
      <c r="I114" s="34"/>
      <c r="J114" s="34"/>
      <c r="K114" s="27" t="str">
        <f>IF(AND(I114&lt;&gt;"",J114&lt;&gt;""),(IF(OR(AND(L114="sks&gt;10",L113="sks&lt;=10",IFERROR(SUMPRODUCT($I$108:I113,$J$108:J113)&lt;10,FALSE)),AND(L114="sks&gt;10",L113="")),(((10-SUMPRODUCT($I$108:I113,$J$108:J113))*IF('LAMPIRAN I DONE'!$F$21="Tenaga Pengajar",0.5,IF(OR('LAMPIRAN I DONE'!$F$21="Asisten Ahli",'LAMPIRAN I DONE'!$F$21="Lektor",'LAMPIRAN I DONE'!$F$21="Lektor Kepala",'LAMPIRAN I DONE'!$F$21="Guru Besar"),1,"")))+(((I114*J114)-(10-SUMPRODUCT($I$108:I113,$J$108:J113)))*IF('LAMPIRAN I DONE'!$F$21="Tenaga Pengajar",0.25,IF(OR('LAMPIRAN I DONE'!$F$21="Asisten Ahli",'LAMPIRAN I DONE'!$F$21="Lektor",'LAMPIRAN I DONE'!$F$21="Lektor Kepala",'LAMPIRAN I DONE'!$F$21="Guru Besar"),0.5,"")))),IF(OR(AND(L114="sks&gt;10",L113="sks&gt;10"),AND(L114="sks&gt;10",L113="sks&lt;=10")),I114*J114*IF('LAMPIRAN I DONE'!$F$21="Tenaga Pengajar",0.25,IF(OR('LAMPIRAN I DONE'!$F$21="Asisten Ahli",'LAMPIRAN I DONE'!$F$21="Lektor",'LAMPIRAN I DONE'!$F$21="Lektor Kepala",'LAMPIRAN I DONE'!$F$21="Guru Besar"),0.5,"")),I114*J114*IF('LAMPIRAN I DONE'!$F$21="Tenaga Pengajar",0.5,IF(OR('LAMPIRAN I DONE'!$F$21="Asisten Ahli",'LAMPIRAN I DONE'!$F$21="Lektor",'LAMPIRAN I DONE'!$F$21="Lektor Kepala",'LAMPIRAN I DONE'!$F$21="Guru Besar"),1,""))))),"rumus")</f>
        <v>rumus</v>
      </c>
      <c r="L114" s="27" t="str">
        <f>IF(AND(I114&lt;&gt;"",J114&lt;&gt;""),(IF(SUMPRODUCT($I$109:I114,$J$109:J114)&lt;=10,"SKS&lt;=10",IF(SUMPRODUCT($I$109:I114,$J$109:J114)&gt;10,"SKS&gt;10",""))),"rumus")</f>
        <v>rumus</v>
      </c>
    </row>
    <row r="115" spans="1:14" s="2" customFormat="1" ht="15" hidden="1" customHeight="1" x14ac:dyDescent="0.45">
      <c r="A115" s="67"/>
      <c r="B115" s="168" t="str">
        <f>"a. Semester Gasal "&amp;IF(C116&lt;&gt;"",C116,"")&amp;" :"</f>
        <v>a. Semester Gasal 2019/2020 :</v>
      </c>
      <c r="C115" s="30"/>
      <c r="D115" s="30"/>
      <c r="E115" s="30"/>
      <c r="F115" s="30"/>
      <c r="G115" s="30"/>
      <c r="H115" s="54"/>
      <c r="I115" s="496"/>
      <c r="J115" s="496"/>
      <c r="M115" s="104">
        <f>IF((AND(N115="Max 5,5",SUM(K109:K114)&lt;=5.5)),SUM(K109:K114),IF((AND(N115="Max 5,5",SUM(K109:K114)&gt;5.5)),5.5,IF((AND(N115="Max 11",SUM(K109:K114)&lt;=11)),SUM(K109:K114),IF((AND(N115="Max 11",SUM(K109:K114)&gt;11)),11,""))))</f>
        <v>0</v>
      </c>
      <c r="N115" s="33" t="str">
        <f>IF('LAMPIRAN I DONE'!$F$21="Tenaga Pengajar","Max 5,5",IF(OR('LAMPIRAN I DONE'!$F$21="Asisten Ahli",'LAMPIRAN I DONE'!$F$21="Lektor",'LAMPIRAN I DONE'!$F$21="Lektor Kepala",'LAMPIRAN I DONE'!$F$21="Guru Besar"),"Max 11",""))</f>
        <v>Max 11</v>
      </c>
    </row>
    <row r="116" spans="1:14" s="2" customFormat="1" ht="25.5" hidden="1" customHeight="1" x14ac:dyDescent="0.45">
      <c r="A116" s="67">
        <v>1</v>
      </c>
      <c r="B116" s="184" t="s">
        <v>81</v>
      </c>
      <c r="C116" s="28" t="s">
        <v>797</v>
      </c>
      <c r="D116" s="28" t="str">
        <f>IF(G116&lt;&gt;"rumus","SKS","")</f>
        <v/>
      </c>
      <c r="E116" s="256" t="str">
        <f>IF(K116&lt;&gt;"rumus",(IF(OR(AND(L116="sks&gt;10",L115="sks&lt;=10",IFERROR(SUMPRODUCT($I$115:I115,$J$115:J115)&lt;10,FALSE)),AND(L116="sks&gt;10",L115="")),(((10-SUMPRODUCT($I$115:I115,$J$115:J115))&amp;" x "&amp;1)&amp;"
"&amp;(((I116*J116)-(10-SUMPRODUCT($I$115:I115,$J$115:J115)))&amp;" x "&amp;1)),(I116&amp;" x "&amp;J116))),"")</f>
        <v/>
      </c>
      <c r="F116" s="256" t="str">
        <f>IF(K116&lt;&gt;"rumus",(IF(OR(AND(L116="sks&gt;10",L115="sks&lt;=10",IFERROR(SUMPRODUCT($I$115:I115,$J$115:J115)&lt;10,FALSE)),AND(L116="sks&gt;10",L115="")),((IF('LAMPIRAN I DONE'!$F$21="Tenaga Pengajar",0.5,IF(OR('LAMPIRAN I DONE'!$F$21="Asisten Ahli",'LAMPIRAN I DONE'!$F$21="Lektor",'LAMPIRAN I DONE'!$F$21="Lektor Kepala",'LAMPIRAN I DONE'!$F$21="Guru Besar"),1,"")))&amp;"
"&amp;(IF('LAMPIRAN I DONE'!$F$21="Tenaga Pengajar",0.25,IF(OR('LAMPIRAN I DONE'!$F$21="Asisten Ahli",'LAMPIRAN I DONE'!$F$21="Lektor",'LAMPIRAN I DONE'!$F$21="Lektor Kepala",'LAMPIRAN I DONE'!$F$21="Guru Besar"),0.5,"")))),((IF(OR(AND(L116="sks&gt;10",L115="sks&gt;10"),AND(L116="sks&gt;10",L115="sks&lt;=10")),IF('LAMPIRAN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f>
        <v/>
      </c>
      <c r="G116" s="105" t="str">
        <f>IF(K116&lt;&gt;"rumus",(IF(OR(AND(L116="sks&gt;10",L115="sks&lt;=10",IFERROR(SUMPRODUCT($I$115:I115,$J$115:J115)&lt;10,FALSE)),AND(L116="sks&gt;10",L115="")),(((10-SUMPRODUCT($I$115:I115,$J$115:J115))&amp;" x "&amp;1&amp;" x "&amp;IF('LAMPIRAN I DONE'!$F$21="Tenaga Pengajar",0.5,IF(OR('LAMPIRAN I DONE'!$F$21="Asisten Ahli",'LAMPIRAN I DONE'!$F$21="Lektor",'LAMPIRAN I DONE'!$F$21="Lektor Kepala",'LAMPIRAN I DONE'!$F$21="Guru Besar"),1,""))&amp;" = "&amp;((10-SUMPRODUCT($I$115:I115,$J$115:J115))*IF('LAMPIRAN I DONE'!$F$21="Tenaga Pengajar",0.5,IF(OR('LAMPIRAN I DONE'!$F$21="Asisten Ahli",'LAMPIRAN I DONE'!$F$21="Lektor",'LAMPIRAN I DONE'!$F$21="Lektor Kepala",'LAMPIRAN I DONE'!$F$21="Guru Besar"),1,""))))&amp;"
"&amp;(((I116*J116)-(10-SUMPRODUCT($I$115:I115,$J$115:J115)))&amp;" x "&amp;1&amp;" x "&amp;IF('LAMPIRAN I DONE'!$F$21="Tenaga Pengajar",0.25,IF(OR('LAMPIRAN I DONE'!$F$21="Asisten Ahli",'LAMPIRAN I DONE'!$F$21="Lektor",'LAMPIRAN I DONE'!$F$21="Lektor Kepala",'LAMPIRAN I DONE'!$F$21="Guru Besar"),0.5,""))&amp;" = "&amp;(((I116*J116)-(10-SUMPRODUCT($I$115:I115,$J$115:J115)))*IF('LAMPIRAN I DONE'!$F$21="Tenaga Pengajar",0.25,IF(OR('LAMPIRAN I DONE'!$F$21="Asisten Ahli",'LAMPIRAN I DONE'!$F$21="Lektor",'LAMPIRAN I DONE'!$F$21="Lektor Kepala",'LAMPIRAN I DONE'!$F$21="Guru Besar"),0.5,""))))),(I116&amp;" x "&amp;J116&amp;" x "&amp;(IF(OR(AND(L116="sks&gt;10",L115="sks&gt;10"),AND(L116="sks&gt;10",L115="sks&lt;=10")),IF('LAMPIRAN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Besar"),1,""))))&amp;" = "&amp;K116))),"rumus")</f>
        <v>rumus</v>
      </c>
      <c r="H116" s="820" t="s">
        <v>620</v>
      </c>
      <c r="I116" s="34"/>
      <c r="J116" s="34"/>
      <c r="K116" s="27" t="str">
        <f>IF(AND(I116&lt;&gt;"",J116&lt;&gt;""),(IF(OR(AND(L116="sks&gt;10",L115="sks&lt;=10",IFERROR(SUMPRODUCT($I$115:I115,$J$115:J115)&lt;10,FALSE)),AND(L116="sks&gt;10",L115="")),(((10-SUMPRODUCT($I$115:I115,$J$115:J115))*IF('LAMPIRAN I DONE'!$F$21="Tenaga Pengajar",0.5,IF(OR('LAMPIRAN I DONE'!$F$21="Asisten Ahli",'LAMPIRAN I DONE'!$F$21="Lektor",'LAMPIRAN I DONE'!$F$21="Lektor Kepala",'LAMPIRAN I DONE'!$F$21="Guru Besar"),1,"")))+(((I116*J116)-(10-SUMPRODUCT($I$115:I115,$J$115:J115)))*IF('LAMPIRAN I DONE'!$F$21="Tenaga Pengajar",0.25,IF(OR('LAMPIRAN I DONE'!$F$21="Asisten Ahli",'LAMPIRAN I DONE'!$F$21="Lektor",'LAMPIRAN I DONE'!$F$21="Lektor Kepala",'LAMPIRAN I DONE'!$F$21="Guru Besar"),0.5,"")))),IF(OR(AND(L116="sks&gt;10",L115="sks&gt;10"),AND(L116="sks&gt;10",L115="sks&lt;=10")),I116*J116*IF('LAMPIRAN I DONE'!$F$21="Tenaga Pengajar",0.25,IF(OR('LAMPIRAN I DONE'!$F$21="Asisten Ahli",'LAMPIRAN I DONE'!$F$21="Lektor",'LAMPIRAN I DONE'!$F$21="Lektor Kepala",'LAMPIRAN I DONE'!$F$21="Guru Besar"),0.5,"")),I116*J116*IF('LAMPIRAN I DONE'!$F$21="Tenaga Pengajar",0.5,IF(OR('LAMPIRAN I DONE'!$F$21="Asisten Ahli",'LAMPIRAN I DONE'!$F$21="Lektor",'LAMPIRAN I DONE'!$F$21="Lektor Kepala",'LAMPIRAN I DONE'!$F$21="Guru Besar"),1,""))))),"rumus")</f>
        <v>rumus</v>
      </c>
      <c r="L116" s="27" t="str">
        <f>IF(AND(I116&lt;&gt;"",J116&lt;&gt;""),(IF(SUMPRODUCT($I$116:I116,$J$116:J116)&lt;=10,"SKS&lt;=10",IF(SUMPRODUCT($I$116:I116,$J$116:J116)&gt;10,"SKS&gt;10",""))),"rumus")</f>
        <v>rumus</v>
      </c>
    </row>
    <row r="117" spans="1:14" s="2" customFormat="1" ht="25.5" hidden="1" customHeight="1" x14ac:dyDescent="0.45">
      <c r="A117" s="67">
        <v>2</v>
      </c>
      <c r="B117" s="184" t="s">
        <v>81</v>
      </c>
      <c r="C117" s="28" t="s">
        <v>797</v>
      </c>
      <c r="D117" s="28" t="str">
        <f t="shared" ref="D117:D121" si="18">IF(G117&lt;&gt;"rumus","SKS","")</f>
        <v/>
      </c>
      <c r="E117" s="256" t="str">
        <f>IF(K117&lt;&gt;"rumus",(IF(OR(AND(L117="sks&gt;10",L116="sks&lt;=10",IFERROR(SUMPRODUCT($I$115:I116,$J$115:J116)&lt;10,FALSE)),AND(L117="sks&gt;10",L116="")),(((10-SUMPRODUCT($I$115:I116,$J$115:J116))&amp;" x "&amp;1)&amp;"
"&amp;(((I117*J117)-(10-SUMPRODUCT($I$115:I116,$J$115:J116)))&amp;" x "&amp;1)),(I117&amp;" x "&amp;J117))),"")</f>
        <v/>
      </c>
      <c r="F117" s="256" t="str">
        <f>IF(K117&lt;&gt;"rumus",(IF(OR(AND(L117="sks&gt;10",L116="sks&lt;=10",IFERROR(SUMPRODUCT($I$115:I116,$J$115:J116)&lt;10,FALSE)),AND(L117="sks&gt;10",L116="")),((IF('LAMPIRAN I DONE'!$F$21="Tenaga Pengajar",0.5,IF(OR('LAMPIRAN I DONE'!$F$21="Asisten Ahli",'LAMPIRAN I DONE'!$F$21="Lektor",'LAMPIRAN I DONE'!$F$21="Lektor Kepala",'LAMPIRAN I DONE'!$F$21="Guru Besar"),1,"")))&amp;"
"&amp;(IF('LAMPIRAN I DONE'!$F$21="Tenaga Pengajar",0.25,IF(OR('LAMPIRAN I DONE'!$F$21="Asisten Ahli",'LAMPIRAN I DONE'!$F$21="Lektor",'LAMPIRAN I DONE'!$F$21="Lektor Kepala",'LAMPIRAN I DONE'!$F$21="Guru Besar"),0.5,"")))),((IF(OR(AND(L117="sks&gt;10",L116="sks&gt;10"),AND(L117="sks&gt;10",L116="sks&lt;=10")),IF('LAMPIRAN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f>
        <v/>
      </c>
      <c r="G117" s="105" t="str">
        <f>IF(K117&lt;&gt;"rumus",(IF(OR(AND(L117="sks&gt;10",L116="sks&lt;=10",IFERROR(SUMPRODUCT($I$115:I116,$J$115:J116)&lt;10,FALSE)),AND(L117="sks&gt;10",L116="")),(((10-SUMPRODUCT($I$115:I116,$J$115:J116))&amp;" x "&amp;1&amp;" x "&amp;IF('LAMPIRAN I DONE'!$F$21="Tenaga Pengajar",0.5,IF(OR('LAMPIRAN I DONE'!$F$21="Asisten Ahli",'LAMPIRAN I DONE'!$F$21="Lektor",'LAMPIRAN I DONE'!$F$21="Lektor Kepala",'LAMPIRAN I DONE'!$F$21="Guru Besar"),1,""))&amp;" = "&amp;((10-SUMPRODUCT($I$115:I116,$J$115:J116))*IF('LAMPIRAN I DONE'!$F$21="Tenaga Pengajar",0.5,IF(OR('LAMPIRAN I DONE'!$F$21="Asisten Ahli",'LAMPIRAN I DONE'!$F$21="Lektor",'LAMPIRAN I DONE'!$F$21="Lektor Kepala",'LAMPIRAN I DONE'!$F$21="Guru Besar"),1,""))))&amp;"
"&amp;(((I117*J117)-(10-SUMPRODUCT($I$115:I116,$J$115:J116)))&amp;" x "&amp;1&amp;" x "&amp;IF('LAMPIRAN I DONE'!$F$21="Tenaga Pengajar",0.25,IF(OR('LAMPIRAN I DONE'!$F$21="Asisten Ahli",'LAMPIRAN I DONE'!$F$21="Lektor",'LAMPIRAN I DONE'!$F$21="Lektor Kepala",'LAMPIRAN I DONE'!$F$21="Guru Besar"),0.5,""))&amp;" = "&amp;(((I117*J117)-(10-SUMPRODUCT($I$115:I116,$J$115:J116)))*IF('LAMPIRAN I DONE'!$F$21="Tenaga Pengajar",0.25,IF(OR('LAMPIRAN I DONE'!$F$21="Asisten Ahli",'LAMPIRAN I DONE'!$F$21="Lektor",'LAMPIRAN I DONE'!$F$21="Lektor Kepala",'LAMPIRAN I DONE'!$F$21="Guru Besar"),0.5,""))))),(I117&amp;" x "&amp;J117&amp;" x "&amp;(IF(OR(AND(L117="sks&gt;10",L116="sks&gt;10"),AND(L117="sks&gt;10",L116="sks&lt;=10")),IF('LAMPIRAN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Besar"),1,""))))&amp;" = "&amp;K117))),"rumus")</f>
        <v>rumus</v>
      </c>
      <c r="H117" s="820" t="s">
        <v>620</v>
      </c>
      <c r="I117" s="34"/>
      <c r="J117" s="34"/>
      <c r="K117" s="27" t="str">
        <f>IF(AND(I117&lt;&gt;"",J117&lt;&gt;""),(IF(OR(AND(L117="sks&gt;10",L116="sks&lt;=10",IFERROR(SUMPRODUCT($I$115:I116,$J$115:J116)&lt;10,FALSE)),AND(L117="sks&gt;10",L116="")),(((10-SUMPRODUCT($I$115:I116,$J$115:J116))*IF('LAMPIRAN I DONE'!$F$21="Tenaga Pengajar",0.5,IF(OR('LAMPIRAN I DONE'!$F$21="Asisten Ahli",'LAMPIRAN I DONE'!$F$21="Lektor",'LAMPIRAN I DONE'!$F$21="Lektor Kepala",'LAMPIRAN I DONE'!$F$21="Guru Besar"),1,"")))+(((I117*J117)-(10-SUMPRODUCT($I$115:I116,$J$115:J116)))*IF('LAMPIRAN I DONE'!$F$21="Tenaga Pengajar",0.25,IF(OR('LAMPIRAN I DONE'!$F$21="Asisten Ahli",'LAMPIRAN I DONE'!$F$21="Lektor",'LAMPIRAN I DONE'!$F$21="Lektor Kepala",'LAMPIRAN I DONE'!$F$21="Guru Besar"),0.5,"")))),IF(OR(AND(L117="sks&gt;10",L116="sks&gt;10"),AND(L117="sks&gt;10",L116="sks&lt;=10")),I117*J117*IF('LAMPIRAN I DONE'!$F$21="Tenaga Pengajar",0.25,IF(OR('LAMPIRAN I DONE'!$F$21="Asisten Ahli",'LAMPIRAN I DONE'!$F$21="Lektor",'LAMPIRAN I DONE'!$F$21="Lektor Kepala",'LAMPIRAN I DONE'!$F$21="Guru Besar"),0.5,"")),I117*J117*IF('LAMPIRAN I DONE'!$F$21="Tenaga Pengajar",0.5,IF(OR('LAMPIRAN I DONE'!$F$21="Asisten Ahli",'LAMPIRAN I DONE'!$F$21="Lektor",'LAMPIRAN I DONE'!$F$21="Lektor Kepala",'LAMPIRAN I DONE'!$F$21="Guru Besar"),1,""))))),"rumus")</f>
        <v>rumus</v>
      </c>
      <c r="L117" s="27" t="str">
        <f>IF(AND(I117&lt;&gt;"",J117&lt;&gt;""),(IF(SUMPRODUCT($I$116:I117,$J$116:J117)&lt;=10,"SKS&lt;=10",IF(SUMPRODUCT($I$116:I117,$J$116:J117)&gt;10,"SKS&gt;10",""))),"rumus")</f>
        <v>rumus</v>
      </c>
    </row>
    <row r="118" spans="1:14" s="2" customFormat="1" ht="25.5" hidden="1" customHeight="1" x14ac:dyDescent="0.45">
      <c r="A118" s="67">
        <v>3</v>
      </c>
      <c r="B118" s="184" t="s">
        <v>81</v>
      </c>
      <c r="C118" s="28" t="s">
        <v>797</v>
      </c>
      <c r="D118" s="28" t="str">
        <f t="shared" si="18"/>
        <v/>
      </c>
      <c r="E118" s="256" t="str">
        <f>IF(K118&lt;&gt;"rumus",(IF(OR(AND(L118="sks&gt;10",L117="sks&lt;=10",IFERROR(SUMPRODUCT($I$115:I117,$J$115:J117)&lt;10,FALSE)),AND(L118="sks&gt;10",L117="")),(((10-SUMPRODUCT($I$115:I117,$J$115:J117))&amp;" x "&amp;1)&amp;"
"&amp;(((I118*J118)-(10-SUMPRODUCT($I$115:I117,$J$115:J117)))&amp;" x "&amp;1)),(I118&amp;" x "&amp;J118))),"")</f>
        <v/>
      </c>
      <c r="F118" s="256" t="str">
        <f>IF(K118&lt;&gt;"rumus",(IF(OR(AND(L118="sks&gt;10",L117="sks&lt;=10",IFERROR(SUMPRODUCT($I$115:I117,$J$115:J117)&lt;10,FALSE)),AND(L118="sks&gt;10",L117="")),((IF('LAMPIRAN I DONE'!$F$21="Tenaga Pengajar",0.5,IF(OR('LAMPIRAN I DONE'!$F$21="Asisten Ahli",'LAMPIRAN I DONE'!$F$21="Lektor",'LAMPIRAN I DONE'!$F$21="Lektor Kepala",'LAMPIRAN I DONE'!$F$21="Guru Besar"),1,"")))&amp;"
"&amp;(IF('LAMPIRAN I DONE'!$F$21="Tenaga Pengajar",0.25,IF(OR('LAMPIRAN I DONE'!$F$21="Asisten Ahli",'LAMPIRAN I DONE'!$F$21="Lektor",'LAMPIRAN I DONE'!$F$21="Lektor Kepala",'LAMPIRAN I DONE'!$F$21="Guru Besar"),0.5,"")))),((IF(OR(AND(L118="sks&gt;10",L117="sks&gt;10"),AND(L118="sks&gt;10",L117="sks&lt;=10")),IF('LAMPIRAN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f>
        <v/>
      </c>
      <c r="G118" s="105" t="str">
        <f>IF(K118&lt;&gt;"rumus",(IF(OR(AND(L118="sks&gt;10",L117="sks&lt;=10",IFERROR(SUMPRODUCT($I$115:I117,$J$115:J117)&lt;10,FALSE)),AND(L118="sks&gt;10",L117="")),(((10-SUMPRODUCT($I$115:I117,$J$115:J117))&amp;" x "&amp;1&amp;" x "&amp;IF('LAMPIRAN I DONE'!$F$21="Tenaga Pengajar",0.5,IF(OR('LAMPIRAN I DONE'!$F$21="Asisten Ahli",'LAMPIRAN I DONE'!$F$21="Lektor",'LAMPIRAN I DONE'!$F$21="Lektor Kepala",'LAMPIRAN I DONE'!$F$21="Guru Besar"),1,""))&amp;" = "&amp;((10-SUMPRODUCT($I$115:I117,$J$115:J117))*IF('LAMPIRAN I DONE'!$F$21="Tenaga Pengajar",0.5,IF(OR('LAMPIRAN I DONE'!$F$21="Asisten Ahli",'LAMPIRAN I DONE'!$F$21="Lektor",'LAMPIRAN I DONE'!$F$21="Lektor Kepala",'LAMPIRAN I DONE'!$F$21="Guru Besar"),1,""))))&amp;"
"&amp;(((I118*J118)-(10-SUMPRODUCT($I$115:I117,$J$115:J117)))&amp;" x "&amp;1&amp;" x "&amp;IF('LAMPIRAN I DONE'!$F$21="Tenaga Pengajar",0.25,IF(OR('LAMPIRAN I DONE'!$F$21="Asisten Ahli",'LAMPIRAN I DONE'!$F$21="Lektor",'LAMPIRAN I DONE'!$F$21="Lektor Kepala",'LAMPIRAN I DONE'!$F$21="Guru Besar"),0.5,""))&amp;" = "&amp;(((I118*J118)-(10-SUMPRODUCT($I$115:I117,$J$115:J117)))*IF('LAMPIRAN I DONE'!$F$21="Tenaga Pengajar",0.25,IF(OR('LAMPIRAN I DONE'!$F$21="Asisten Ahli",'LAMPIRAN I DONE'!$F$21="Lektor",'LAMPIRAN I DONE'!$F$21="Lektor Kepala",'LAMPIRAN I DONE'!$F$21="Guru Besar"),0.5,""))))),(I118&amp;" x "&amp;J118&amp;" x "&amp;(IF(OR(AND(L118="sks&gt;10",L117="sks&gt;10"),AND(L118="sks&gt;10",L117="sks&lt;=10")),IF('LAMPIRAN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Besar"),1,""))))&amp;" = "&amp;K118))),"rumus")</f>
        <v>rumus</v>
      </c>
      <c r="H118" s="820" t="s">
        <v>620</v>
      </c>
      <c r="I118" s="34"/>
      <c r="J118" s="34"/>
      <c r="K118" s="27" t="str">
        <f>IF(AND(I118&lt;&gt;"",J118&lt;&gt;""),(IF(OR(AND(L118="sks&gt;10",L117="sks&lt;=10",IFERROR(SUMPRODUCT($I$115:I117,$J$115:J117)&lt;10,FALSE)),AND(L118="sks&gt;10",L117="")),(((10-SUMPRODUCT($I$115:I117,$J$115:J117))*IF('LAMPIRAN I DONE'!$F$21="Tenaga Pengajar",0.5,IF(OR('LAMPIRAN I DONE'!$F$21="Asisten Ahli",'LAMPIRAN I DONE'!$F$21="Lektor",'LAMPIRAN I DONE'!$F$21="Lektor Kepala",'LAMPIRAN I DONE'!$F$21="Guru Besar"),1,"")))+(((I118*J118)-(10-SUMPRODUCT($I$115:I117,$J$115:J117)))*IF('LAMPIRAN I DONE'!$F$21="Tenaga Pengajar",0.25,IF(OR('LAMPIRAN I DONE'!$F$21="Asisten Ahli",'LAMPIRAN I DONE'!$F$21="Lektor",'LAMPIRAN I DONE'!$F$21="Lektor Kepala",'LAMPIRAN I DONE'!$F$21="Guru Besar"),0.5,"")))),IF(OR(AND(L118="sks&gt;10",L117="sks&gt;10"),AND(L118="sks&gt;10",L117="sks&lt;=10")),I118*J118*IF('LAMPIRAN I DONE'!$F$21="Tenaga Pengajar",0.25,IF(OR('LAMPIRAN I DONE'!$F$21="Asisten Ahli",'LAMPIRAN I DONE'!$F$21="Lektor",'LAMPIRAN I DONE'!$F$21="Lektor Kepala",'LAMPIRAN I DONE'!$F$21="Guru Besar"),0.5,"")),I118*J118*IF('LAMPIRAN I DONE'!$F$21="Tenaga Pengajar",0.5,IF(OR('LAMPIRAN I DONE'!$F$21="Asisten Ahli",'LAMPIRAN I DONE'!$F$21="Lektor",'LAMPIRAN I DONE'!$F$21="Lektor Kepala",'LAMPIRAN I DONE'!$F$21="Guru Besar"),1,""))))),"rumus")</f>
        <v>rumus</v>
      </c>
      <c r="L118" s="27" t="str">
        <f>IF(AND(I118&lt;&gt;"",J118&lt;&gt;""),(IF(SUMPRODUCT($I$116:I118,$J$116:J118)&lt;=10,"SKS&lt;=10",IF(SUMPRODUCT($I$116:I118,$J$116:J118)&gt;10,"SKS&gt;10",""))),"rumus")</f>
        <v>rumus</v>
      </c>
    </row>
    <row r="119" spans="1:14" s="2" customFormat="1" ht="25.5" hidden="1" customHeight="1" x14ac:dyDescent="0.45">
      <c r="A119" s="67">
        <v>4</v>
      </c>
      <c r="B119" s="184" t="s">
        <v>81</v>
      </c>
      <c r="C119" s="28" t="s">
        <v>797</v>
      </c>
      <c r="D119" s="28" t="str">
        <f t="shared" si="18"/>
        <v/>
      </c>
      <c r="E119" s="256" t="str">
        <f>IF(K119&lt;&gt;"rumus",(IF(OR(AND(L119="sks&gt;10",L118="sks&lt;=10",IFERROR(SUMPRODUCT($I$115:I118,$J$115:J118)&lt;10,FALSE)),AND(L119="sks&gt;10",L118="")),(((10-SUMPRODUCT($I$115:I118,$J$115:J118))&amp;" x "&amp;1)&amp;"
"&amp;(((I119*J119)-(10-SUMPRODUCT($I$115:I118,$J$115:J118)))&amp;" x "&amp;1)),(I119&amp;" x "&amp;J119))),"")</f>
        <v/>
      </c>
      <c r="F119" s="256" t="str">
        <f>IF(K119&lt;&gt;"rumus",(IF(OR(AND(L119="sks&gt;10",L118="sks&lt;=10",IFERROR(SUMPRODUCT($I$115:I118,$J$115:J118)&lt;10,FALSE)),AND(L119="sks&gt;10",L118="")),((IF('LAMPIRAN I DONE'!$F$21="Tenaga Pengajar",0.5,IF(OR('LAMPIRAN I DONE'!$F$21="Asisten Ahli",'LAMPIRAN I DONE'!$F$21="Lektor",'LAMPIRAN I DONE'!$F$21="Lektor Kepala",'LAMPIRAN I DONE'!$F$21="Guru Besar"),1,"")))&amp;"
"&amp;(IF('LAMPIRAN I DONE'!$F$21="Tenaga Pengajar",0.25,IF(OR('LAMPIRAN I DONE'!$F$21="Asisten Ahli",'LAMPIRAN I DONE'!$F$21="Lektor",'LAMPIRAN I DONE'!$F$21="Lektor Kepala",'LAMPIRAN I DONE'!$F$21="Guru Besar"),0.5,"")))),((IF(OR(AND(L119="sks&gt;10",L118="sks&gt;10"),AND(L119="sks&gt;10",L118="sks&lt;=10")),IF('LAMPIRAN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f>
        <v/>
      </c>
      <c r="G119" s="105" t="str">
        <f>IF(K119&lt;&gt;"rumus",(IF(OR(AND(L119="sks&gt;10",L118="sks&lt;=10",IFERROR(SUMPRODUCT($I$115:I118,$J$115:J118)&lt;10,FALSE)),AND(L119="sks&gt;10",L118="")),(((10-SUMPRODUCT($I$115:I118,$J$115:J118))&amp;" x "&amp;1&amp;" x "&amp;IF('LAMPIRAN I DONE'!$F$21="Tenaga Pengajar",0.5,IF(OR('LAMPIRAN I DONE'!$F$21="Asisten Ahli",'LAMPIRAN I DONE'!$F$21="Lektor",'LAMPIRAN I DONE'!$F$21="Lektor Kepala",'LAMPIRAN I DONE'!$F$21="Guru Besar"),1,""))&amp;" = "&amp;((10-SUMPRODUCT($I$115:I118,$J$115:J118))*IF('LAMPIRAN I DONE'!$F$21="Tenaga Pengajar",0.5,IF(OR('LAMPIRAN I DONE'!$F$21="Asisten Ahli",'LAMPIRAN I DONE'!$F$21="Lektor",'LAMPIRAN I DONE'!$F$21="Lektor Kepala",'LAMPIRAN I DONE'!$F$21="Guru Besar"),1,""))))&amp;"
"&amp;(((I119*J119)-(10-SUMPRODUCT($I$115:I118,$J$115:J118)))&amp;" x "&amp;1&amp;" x "&amp;IF('LAMPIRAN I DONE'!$F$21="Tenaga Pengajar",0.25,IF(OR('LAMPIRAN I DONE'!$F$21="Asisten Ahli",'LAMPIRAN I DONE'!$F$21="Lektor",'LAMPIRAN I DONE'!$F$21="Lektor Kepala",'LAMPIRAN I DONE'!$F$21="Guru Besar"),0.5,""))&amp;" = "&amp;(((I119*J119)-(10-SUMPRODUCT($I$115:I118,$J$115:J118)))*IF('LAMPIRAN I DONE'!$F$21="Tenaga Pengajar",0.25,IF(OR('LAMPIRAN I DONE'!$F$21="Asisten Ahli",'LAMPIRAN I DONE'!$F$21="Lektor",'LAMPIRAN I DONE'!$F$21="Lektor Kepala",'LAMPIRAN I DONE'!$F$21="Guru Besar"),0.5,""))))),(I119&amp;" x "&amp;J119&amp;" x "&amp;(IF(OR(AND(L119="sks&gt;10",L118="sks&gt;10"),AND(L119="sks&gt;10",L118="sks&lt;=10")),IF('LAMPIRAN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Besar"),1,""))))&amp;" = "&amp;K119))),"rumus")</f>
        <v>rumus</v>
      </c>
      <c r="H119" s="820" t="s">
        <v>620</v>
      </c>
      <c r="I119" s="34"/>
      <c r="J119" s="34"/>
      <c r="K119" s="27" t="str">
        <f>IF(AND(I119&lt;&gt;"",J119&lt;&gt;""),(IF(OR(AND(L119="sks&gt;10",L118="sks&lt;=10",IFERROR(SUMPRODUCT($I$115:I118,$J$115:J118)&lt;10,FALSE)),AND(L119="sks&gt;10",L118="")),(((10-SUMPRODUCT($I$115:I118,$J$115:J118))*IF('LAMPIRAN I DONE'!$F$21="Tenaga Pengajar",0.5,IF(OR('LAMPIRAN I DONE'!$F$21="Asisten Ahli",'LAMPIRAN I DONE'!$F$21="Lektor",'LAMPIRAN I DONE'!$F$21="Lektor Kepala",'LAMPIRAN I DONE'!$F$21="Guru Besar"),1,"")))+(((I119*J119)-(10-SUMPRODUCT($I$115:I118,$J$115:J118)))*IF('LAMPIRAN I DONE'!$F$21="Tenaga Pengajar",0.25,IF(OR('LAMPIRAN I DONE'!$F$21="Asisten Ahli",'LAMPIRAN I DONE'!$F$21="Lektor",'LAMPIRAN I DONE'!$F$21="Lektor Kepala",'LAMPIRAN I DONE'!$F$21="Guru Besar"),0.5,"")))),IF(OR(AND(L119="sks&gt;10",L118="sks&gt;10"),AND(L119="sks&gt;10",L118="sks&lt;=10")),I119*J119*IF('LAMPIRAN I DONE'!$F$21="Tenaga Pengajar",0.25,IF(OR('LAMPIRAN I DONE'!$F$21="Asisten Ahli",'LAMPIRAN I DONE'!$F$21="Lektor",'LAMPIRAN I DONE'!$F$21="Lektor Kepala",'LAMPIRAN I DONE'!$F$21="Guru Besar"),0.5,"")),I119*J119*IF('LAMPIRAN I DONE'!$F$21="Tenaga Pengajar",0.5,IF(OR('LAMPIRAN I DONE'!$F$21="Asisten Ahli",'LAMPIRAN I DONE'!$F$21="Lektor",'LAMPIRAN I DONE'!$F$21="Lektor Kepala",'LAMPIRAN I DONE'!$F$21="Guru Besar"),1,""))))),"rumus")</f>
        <v>rumus</v>
      </c>
      <c r="L119" s="27" t="str">
        <f>IF(AND(I119&lt;&gt;"",J119&lt;&gt;""),(IF(SUMPRODUCT($I$116:I119,$J$116:J119)&lt;=10,"SKS&lt;=10",IF(SUMPRODUCT($I$116:I119,$J$116:J119)&gt;10,"SKS&gt;10",""))),"rumus")</f>
        <v>rumus</v>
      </c>
    </row>
    <row r="120" spans="1:14" s="2" customFormat="1" ht="25.5" hidden="1" customHeight="1" x14ac:dyDescent="0.45">
      <c r="A120" s="67">
        <v>5</v>
      </c>
      <c r="B120" s="184" t="s">
        <v>81</v>
      </c>
      <c r="C120" s="28" t="s">
        <v>797</v>
      </c>
      <c r="D120" s="28" t="str">
        <f t="shared" si="18"/>
        <v/>
      </c>
      <c r="E120" s="256" t="str">
        <f>IF(K120&lt;&gt;"rumus",(IF(OR(AND(L120="sks&gt;10",L119="sks&lt;=10",IFERROR(SUMPRODUCT($I$115:I119,$J$115:J119)&lt;10,FALSE)),AND(L120="sks&gt;10",L119="")),(((10-SUMPRODUCT($I$115:I119,$J$115:J119))&amp;" x "&amp;1)&amp;"
"&amp;(((I120*J120)-(10-SUMPRODUCT($I$115:I119,$J$115:J119)))&amp;" x "&amp;1)),(I120&amp;" x "&amp;J120))),"")</f>
        <v/>
      </c>
      <c r="F120" s="256" t="str">
        <f>IF(K120&lt;&gt;"rumus",(IF(OR(AND(L120="sks&gt;10",L119="sks&lt;=10",IFERROR(SUMPRODUCT($I$115:I119,$J$115:J119)&lt;10,FALSE)),AND(L120="sks&gt;10",L119="")),((IF('LAMPIRAN I DONE'!$F$21="Tenaga Pengajar",0.5,IF(OR('LAMPIRAN I DONE'!$F$21="Asisten Ahli",'LAMPIRAN I DONE'!$F$21="Lektor",'LAMPIRAN I DONE'!$F$21="Lektor Kepala",'LAMPIRAN I DONE'!$F$21="Guru Besar"),1,"")))&amp;"
"&amp;(IF('LAMPIRAN I DONE'!$F$21="Tenaga Pengajar",0.25,IF(OR('LAMPIRAN I DONE'!$F$21="Asisten Ahli",'LAMPIRAN I DONE'!$F$21="Lektor",'LAMPIRAN I DONE'!$F$21="Lektor Kepala",'LAMPIRAN I DONE'!$F$21="Guru Besar"),0.5,"")))),((IF(OR(AND(L120="sks&gt;10",L119="sks&gt;10"),AND(L120="sks&gt;10",L119="sks&lt;=10")),IF('LAMPIRAN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f>
        <v/>
      </c>
      <c r="G120" s="105" t="str">
        <f>IF(K120&lt;&gt;"rumus",(IF(OR(AND(L120="sks&gt;10",L119="sks&lt;=10",IFERROR(SUMPRODUCT($I$115:I119,$J$115:J119)&lt;10,FALSE)),AND(L120="sks&gt;10",L119="")),(((10-SUMPRODUCT($I$115:I119,$J$115:J119))&amp;" x "&amp;1&amp;" x "&amp;IF('LAMPIRAN I DONE'!$F$21="Tenaga Pengajar",0.5,IF(OR('LAMPIRAN I DONE'!$F$21="Asisten Ahli",'LAMPIRAN I DONE'!$F$21="Lektor",'LAMPIRAN I DONE'!$F$21="Lektor Kepala",'LAMPIRAN I DONE'!$F$21="Guru Besar"),1,""))&amp;" = "&amp;((10-SUMPRODUCT($I$115:I119,$J$115:J119))*IF('LAMPIRAN I DONE'!$F$21="Tenaga Pengajar",0.5,IF(OR('LAMPIRAN I DONE'!$F$21="Asisten Ahli",'LAMPIRAN I DONE'!$F$21="Lektor",'LAMPIRAN I DONE'!$F$21="Lektor Kepala",'LAMPIRAN I DONE'!$F$21="Guru Besar"),1,""))))&amp;"
"&amp;(((I120*J120)-(10-SUMPRODUCT($I$115:I119,$J$115:J119)))&amp;" x "&amp;1&amp;" x "&amp;IF('LAMPIRAN I DONE'!$F$21="Tenaga Pengajar",0.25,IF(OR('LAMPIRAN I DONE'!$F$21="Asisten Ahli",'LAMPIRAN I DONE'!$F$21="Lektor",'LAMPIRAN I DONE'!$F$21="Lektor Kepala",'LAMPIRAN I DONE'!$F$21="Guru Besar"),0.5,""))&amp;" = "&amp;(((I120*J120)-(10-SUMPRODUCT($I$115:I119,$J$115:J119)))*IF('LAMPIRAN I DONE'!$F$21="Tenaga Pengajar",0.25,IF(OR('LAMPIRAN I DONE'!$F$21="Asisten Ahli",'LAMPIRAN I DONE'!$F$21="Lektor",'LAMPIRAN I DONE'!$F$21="Lektor Kepala",'LAMPIRAN I DONE'!$F$21="Guru Besar"),0.5,""))))),(I120&amp;" x "&amp;J120&amp;" x "&amp;(IF(OR(AND(L120="sks&gt;10",L119="sks&gt;10"),AND(L120="sks&gt;10",L119="sks&lt;=10")),IF('LAMPIRAN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Besar"),1,""))))&amp;" = "&amp;K120))),"rumus")</f>
        <v>rumus</v>
      </c>
      <c r="H120" s="820" t="s">
        <v>620</v>
      </c>
      <c r="I120" s="34"/>
      <c r="J120" s="34"/>
      <c r="K120" s="27" t="str">
        <f>IF(AND(I120&lt;&gt;"",J120&lt;&gt;""),(IF(OR(AND(L120="sks&gt;10",L119="sks&lt;=10",IFERROR(SUMPRODUCT($I$115:I119,$J$115:J119)&lt;10,FALSE)),AND(L120="sks&gt;10",L119="")),(((10-SUMPRODUCT($I$115:I119,$J$115:J119))*IF('LAMPIRAN I DONE'!$F$21="Tenaga Pengajar",0.5,IF(OR('LAMPIRAN I DONE'!$F$21="Asisten Ahli",'LAMPIRAN I DONE'!$F$21="Lektor",'LAMPIRAN I DONE'!$F$21="Lektor Kepala",'LAMPIRAN I DONE'!$F$21="Guru Besar"),1,"")))+(((I120*J120)-(10-SUMPRODUCT($I$115:I119,$J$115:J119)))*IF('LAMPIRAN I DONE'!$F$21="Tenaga Pengajar",0.25,IF(OR('LAMPIRAN I DONE'!$F$21="Asisten Ahli",'LAMPIRAN I DONE'!$F$21="Lektor",'LAMPIRAN I DONE'!$F$21="Lektor Kepala",'LAMPIRAN I DONE'!$F$21="Guru Besar"),0.5,"")))),IF(OR(AND(L120="sks&gt;10",L119="sks&gt;10"),AND(L120="sks&gt;10",L119="sks&lt;=10")),I120*J120*IF('LAMPIRAN I DONE'!$F$21="Tenaga Pengajar",0.25,IF(OR('LAMPIRAN I DONE'!$F$21="Asisten Ahli",'LAMPIRAN I DONE'!$F$21="Lektor",'LAMPIRAN I DONE'!$F$21="Lektor Kepala",'LAMPIRAN I DONE'!$F$21="Guru Besar"),0.5,"")),I120*J120*IF('LAMPIRAN I DONE'!$F$21="Tenaga Pengajar",0.5,IF(OR('LAMPIRAN I DONE'!$F$21="Asisten Ahli",'LAMPIRAN I DONE'!$F$21="Lektor",'LAMPIRAN I DONE'!$F$21="Lektor Kepala",'LAMPIRAN I DONE'!$F$21="Guru Besar"),1,""))))),"rumus")</f>
        <v>rumus</v>
      </c>
      <c r="L120" s="27" t="str">
        <f>IF(AND(I120&lt;&gt;"",J120&lt;&gt;""),(IF(SUMPRODUCT($I$116:I120,$J$116:J120)&lt;=10,"SKS&lt;=10",IF(SUMPRODUCT($I$116:I120,$J$116:J120)&gt;10,"SKS&gt;10",""))),"rumus")</f>
        <v>rumus</v>
      </c>
    </row>
    <row r="121" spans="1:14" s="2" customFormat="1" ht="25.5" hidden="1" customHeight="1" x14ac:dyDescent="0.45">
      <c r="A121" s="67">
        <v>6</v>
      </c>
      <c r="B121" s="184" t="s">
        <v>81</v>
      </c>
      <c r="C121" s="28" t="s">
        <v>797</v>
      </c>
      <c r="D121" s="28" t="str">
        <f t="shared" si="18"/>
        <v/>
      </c>
      <c r="E121" s="256" t="str">
        <f>IF(K121&lt;&gt;"rumus",(IF(OR(AND(L121="sks&gt;10",L120="sks&lt;=10",IFERROR(SUMPRODUCT($I$115:I120,$J$115:J120)&lt;10,FALSE)),AND(L121="sks&gt;10",L120="")),(((10-SUMPRODUCT($I$115:I120,$J$115:J120))&amp;" x "&amp;1)&amp;"
"&amp;(((I121*J121)-(10-SUMPRODUCT($I$115:I120,$J$115:J120)))&amp;" x "&amp;1)),(I121&amp;" x "&amp;J121))),"")</f>
        <v/>
      </c>
      <c r="F121" s="256" t="str">
        <f>IF(K121&lt;&gt;"rumus",(IF(OR(AND(L121="sks&gt;10",L120="sks&lt;=10",IFERROR(SUMPRODUCT($I$115:I120,$J$115:J120)&lt;10,FALSE)),AND(L121="sks&gt;10",L120="")),((IF('LAMPIRAN I DONE'!$F$21="Tenaga Pengajar",0.5,IF(OR('LAMPIRAN I DONE'!$F$21="Asisten Ahli",'LAMPIRAN I DONE'!$F$21="Lektor",'LAMPIRAN I DONE'!$F$21="Lektor Kepala",'LAMPIRAN I DONE'!$F$21="Guru Besar"),1,"")))&amp;"
"&amp;(IF('LAMPIRAN I DONE'!$F$21="Tenaga Pengajar",0.25,IF(OR('LAMPIRAN I DONE'!$F$21="Asisten Ahli",'LAMPIRAN I DONE'!$F$21="Lektor",'LAMPIRAN I DONE'!$F$21="Lektor Kepala",'LAMPIRAN I DONE'!$F$21="Guru Besar"),0.5,"")))),((IF(OR(AND(L121="sks&gt;10",L120="sks&gt;10"),AND(L121="sks&gt;10",L120="sks&lt;=10")),IF('LAMPIRAN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f>
        <v/>
      </c>
      <c r="G121" s="105" t="str">
        <f>IF(K121&lt;&gt;"rumus",(IF(OR(AND(L121="sks&gt;10",L120="sks&lt;=10",IFERROR(SUMPRODUCT($I$115:I120,$J$115:J120)&lt;10,FALSE)),AND(L121="sks&gt;10",L120="")),(((10-SUMPRODUCT($I$115:I120,$J$115:J120))&amp;" x "&amp;1&amp;" x "&amp;IF('LAMPIRAN I DONE'!$F$21="Tenaga Pengajar",0.5,IF(OR('LAMPIRAN I DONE'!$F$21="Asisten Ahli",'LAMPIRAN I DONE'!$F$21="Lektor",'LAMPIRAN I DONE'!$F$21="Lektor Kepala",'LAMPIRAN I DONE'!$F$21="Guru Besar"),1,""))&amp;" = "&amp;((10-SUMPRODUCT($I$115:I120,$J$115:J120))*IF('LAMPIRAN I DONE'!$F$21="Tenaga Pengajar",0.5,IF(OR('LAMPIRAN I DONE'!$F$21="Asisten Ahli",'LAMPIRAN I DONE'!$F$21="Lektor",'LAMPIRAN I DONE'!$F$21="Lektor Kepala",'LAMPIRAN I DONE'!$F$21="Guru Besar"),1,""))))&amp;"
"&amp;(((I121*J121)-(10-SUMPRODUCT($I$115:I120,$J$115:J120)))&amp;" x "&amp;1&amp;" x "&amp;IF('LAMPIRAN I DONE'!$F$21="Tenaga Pengajar",0.25,IF(OR('LAMPIRAN I DONE'!$F$21="Asisten Ahli",'LAMPIRAN I DONE'!$F$21="Lektor",'LAMPIRAN I DONE'!$F$21="Lektor Kepala",'LAMPIRAN I DONE'!$F$21="Guru Besar"),0.5,""))&amp;" = "&amp;(((I121*J121)-(10-SUMPRODUCT($I$115:I120,$J$115:J120)))*IF('LAMPIRAN I DONE'!$F$21="Tenaga Pengajar",0.25,IF(OR('LAMPIRAN I DONE'!$F$21="Asisten Ahli",'LAMPIRAN I DONE'!$F$21="Lektor",'LAMPIRAN I DONE'!$F$21="Lektor Kepala",'LAMPIRAN I DONE'!$F$21="Guru Besar"),0.5,""))))),(I121&amp;" x "&amp;J121&amp;" x "&amp;(IF(OR(AND(L121="sks&gt;10",L120="sks&gt;10"),AND(L121="sks&gt;10",L120="sks&lt;=10")),IF('LAMPIRAN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Besar"),1,""))))&amp;" = "&amp;K121))),"rumus")</f>
        <v>rumus</v>
      </c>
      <c r="H121" s="820" t="s">
        <v>620</v>
      </c>
      <c r="I121" s="34"/>
      <c r="J121" s="34"/>
      <c r="K121" s="27" t="str">
        <f>IF(AND(I121&lt;&gt;"",J121&lt;&gt;""),(IF(OR(AND(L121="sks&gt;10",L120="sks&lt;=10",IFERROR(SUMPRODUCT($I$115:I120,$J$115:J120)&lt;10,FALSE)),AND(L121="sks&gt;10",L120="")),(((10-SUMPRODUCT($I$115:I120,$J$115:J120))*IF('LAMPIRAN I DONE'!$F$21="Tenaga Pengajar",0.5,IF(OR('LAMPIRAN I DONE'!$F$21="Asisten Ahli",'LAMPIRAN I DONE'!$F$21="Lektor",'LAMPIRAN I DONE'!$F$21="Lektor Kepala",'LAMPIRAN I DONE'!$F$21="Guru Besar"),1,"")))+(((I121*J121)-(10-SUMPRODUCT($I$115:I120,$J$115:J120)))*IF('LAMPIRAN I DONE'!$F$21="Tenaga Pengajar",0.25,IF(OR('LAMPIRAN I DONE'!$F$21="Asisten Ahli",'LAMPIRAN I DONE'!$F$21="Lektor",'LAMPIRAN I DONE'!$F$21="Lektor Kepala",'LAMPIRAN I DONE'!$F$21="Guru Besar"),0.5,"")))),IF(OR(AND(L121="sks&gt;10",L120="sks&gt;10"),AND(L121="sks&gt;10",L120="sks&lt;=10")),I121*J121*IF('LAMPIRAN I DONE'!$F$21="Tenaga Pengajar",0.25,IF(OR('LAMPIRAN I DONE'!$F$21="Asisten Ahli",'LAMPIRAN I DONE'!$F$21="Lektor",'LAMPIRAN I DONE'!$F$21="Lektor Kepala",'LAMPIRAN I DONE'!$F$21="Guru Besar"),0.5,"")),I121*J121*IF('LAMPIRAN I DONE'!$F$21="Tenaga Pengajar",0.5,IF(OR('LAMPIRAN I DONE'!$F$21="Asisten Ahli",'LAMPIRAN I DONE'!$F$21="Lektor",'LAMPIRAN I DONE'!$F$21="Lektor Kepala",'LAMPIRAN I DONE'!$F$21="Guru Besar"),1,""))))),"rumus")</f>
        <v>rumus</v>
      </c>
      <c r="L121" s="27" t="str">
        <f>IF(AND(I121&lt;&gt;"",J121&lt;&gt;""),(IF(SUMPRODUCT($I$116:I121,$J$116:J121)&lt;=10,"SKS&lt;=10",IF(SUMPRODUCT($I$116:I121,$J$116:J121)&gt;10,"SKS&gt;10",""))),"rumus")</f>
        <v>rumus</v>
      </c>
    </row>
    <row r="122" spans="1:14" s="2" customFormat="1" ht="15" hidden="1" customHeight="1" x14ac:dyDescent="0.45">
      <c r="A122" s="67"/>
      <c r="B122" s="168" t="str">
        <f>"b. Semester Genap "&amp;IF(C123&lt;&gt;"",C123,"")&amp;" :"</f>
        <v>b. Semester Genap 2007/2008 :</v>
      </c>
      <c r="C122" s="30"/>
      <c r="D122" s="111"/>
      <c r="E122" s="111"/>
      <c r="F122" s="111"/>
      <c r="G122" s="111"/>
      <c r="H122" s="112"/>
      <c r="I122" s="496"/>
      <c r="J122" s="496"/>
      <c r="M122" s="104">
        <f>IF((AND(N122="Max 5,5",SUM(K116:K121)&lt;=5.5)),SUM(K116:K121),IF((AND(N122="Max 5,5",SUM(K116:K121)&gt;5.5)),5.5,IF((AND(N122="Max 11",SUM(K116:K121)&lt;=11)),SUM(K116:K121),IF((AND(N122="Max 11",SUM(K116:K121)&gt;11)),11,""))))</f>
        <v>0</v>
      </c>
      <c r="N122" s="33" t="str">
        <f>IF('LAMPIRAN I DONE'!$F$21="Tenaga Pengajar","Max 5,5",IF(OR('LAMPIRAN I DONE'!$F$21="Asisten Ahli",'LAMPIRAN I DONE'!$F$21="Lektor",'LAMPIRAN I DONE'!$F$21="Lektor Kepala",'LAMPIRAN I DONE'!$F$21="Guru Besar"),"Max 11",""))</f>
        <v>Max 11</v>
      </c>
    </row>
    <row r="123" spans="1:14" s="2" customFormat="1" ht="25.5" hidden="1" customHeight="1" x14ac:dyDescent="0.45">
      <c r="A123" s="67">
        <v>1</v>
      </c>
      <c r="B123" s="163" t="s">
        <v>81</v>
      </c>
      <c r="C123" s="28" t="s">
        <v>144</v>
      </c>
      <c r="D123" s="28" t="str">
        <f>IF(G123&lt;&gt;"rumus","SKS","")</f>
        <v/>
      </c>
      <c r="E123" s="256" t="str">
        <f>IF(K123&lt;&gt;"rumus",(IF(OR(AND(L123="sks&gt;10",L122="sks&lt;=10",IFERROR(SUMPRODUCT($I$122:I122,$J$122:J122)&lt;10,FALSE)),AND(L123="sks&gt;10",L122="")),(((10-SUMPRODUCT($I$122:I122,$J$122:J122))&amp;" x "&amp;1)&amp;"
"&amp;(((I123*J123)-(10-SUMPRODUCT($I$122:I122,$J$122:J122)))&amp;" x "&amp;1)),(I123&amp;" x "&amp;J123))),"")</f>
        <v/>
      </c>
      <c r="F123" s="256" t="str">
        <f>IF(K123&lt;&gt;"rumus",(IF(OR(AND(L123="sks&gt;10",L122="sks&lt;=10",IFERROR(SUMPRODUCT($I$122:I122,$J$122:J122)&lt;10,FALSE)),AND(L123="sks&gt;10",L122="")),((IF('LAMPIRAN I DONE'!$F$21="Tenaga Pengajar",0.5,IF(OR('LAMPIRAN I DONE'!$F$21="Asisten Ahli",'LAMPIRAN I DONE'!$F$21="Lektor",'LAMPIRAN I DONE'!$F$21="Lektor Kepala",'LAMPIRAN I DONE'!$F$21="Guru Besar"),1,"")))&amp;"
"&amp;(IF('LAMPIRAN I DONE'!$F$21="Tenaga Pengajar",0.25,IF(OR('LAMPIRAN I DONE'!$F$21="Asisten Ahli",'LAMPIRAN I DONE'!$F$21="Lektor",'LAMPIRAN I DONE'!$F$21="Lektor Kepala",'LAMPIRAN I DONE'!$F$21="Guru Besar"),0.5,"")))),((IF(OR(AND(L123="sks&gt;10",L122="sks&gt;10"),AND(L123="sks&gt;10",L122="sks&lt;=10")),IF('LAMPIRAN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f>
        <v/>
      </c>
      <c r="G123" s="105" t="str">
        <f>IF(K123&lt;&gt;"rumus",(IF(OR(AND(L123="sks&gt;10",L122="sks&lt;=10",IFERROR(SUMPRODUCT($I$122:I122,$J$122:J122)&lt;10,FALSE)),AND(L123="sks&gt;10",L122="")),(((10-SUMPRODUCT($I$122:I122,$J$122:J122))&amp;" x "&amp;1&amp;" x "&amp;IF('LAMPIRAN I DONE'!$F$21="Tenaga Pengajar",0.5,IF(OR('LAMPIRAN I DONE'!$F$21="Asisten Ahli",'LAMPIRAN I DONE'!$F$21="Lektor",'LAMPIRAN I DONE'!$F$21="Lektor Kepala",'LAMPIRAN I DONE'!$F$21="Guru Besar"),1,""))&amp;" = "&amp;((10-SUMPRODUCT($I$122:I122,$J$122:J122))*IF('LAMPIRAN I DONE'!$F$21="Tenaga Pengajar",0.5,IF(OR('LAMPIRAN I DONE'!$F$21="Asisten Ahli",'LAMPIRAN I DONE'!$F$21="Lektor",'LAMPIRAN I DONE'!$F$21="Lektor Kepala",'LAMPIRAN I DONE'!$F$21="Guru Besar"),1,""))))&amp;"
"&amp;(((I123*J123)-(10-SUMPRODUCT($I$122:I122,$J$122:J122)))&amp;" x "&amp;1&amp;" x "&amp;IF('LAMPIRAN I DONE'!$F$21="Tenaga Pengajar",0.25,IF(OR('LAMPIRAN I DONE'!$F$21="Asisten Ahli",'LAMPIRAN I DONE'!$F$21="Lektor",'LAMPIRAN I DONE'!$F$21="Lektor Kepala",'LAMPIRAN I DONE'!$F$21="Guru Besar"),0.5,""))&amp;" = "&amp;(((I123*J123)-(10-SUMPRODUCT($I$122:I122,$J$122:J122)))*IF('LAMPIRAN I DONE'!$F$21="Tenaga Pengajar",0.25,IF(OR('LAMPIRAN I DONE'!$F$21="Asisten Ahli",'LAMPIRAN I DONE'!$F$21="Lektor",'LAMPIRAN I DONE'!$F$21="Lektor Kepala",'LAMPIRAN I DONE'!$F$21="Guru Besar"),0.5,""))))),(I123&amp;" x "&amp;J123&amp;" x "&amp;(IF(OR(AND(L123="sks&gt;10",L122="sks&gt;10"),AND(L123="sks&gt;10",L122="sks&lt;=10")),IF('LAMPIRAN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Besar"),1,""))))&amp;" = "&amp;K123))),"rumus")</f>
        <v>rumus</v>
      </c>
      <c r="H123" s="820" t="s">
        <v>620</v>
      </c>
      <c r="I123" s="34"/>
      <c r="J123" s="34"/>
      <c r="K123" s="27" t="str">
        <f>IF(AND(I123&lt;&gt;"",J123&lt;&gt;""),(IF(OR(AND(L123="sks&gt;10",L122="sks&lt;=10",IFERROR(SUMPRODUCT($I$122:I122,$J$122:J122)&lt;10,FALSE)),AND(L123="sks&gt;10",L122="")),(((10-SUMPRODUCT($I$122:I122,$J$122:J122))*IF('LAMPIRAN I DONE'!$F$21="Tenaga Pengajar",0.5,IF(OR('LAMPIRAN I DONE'!$F$21="Asisten Ahli",'LAMPIRAN I DONE'!$F$21="Lektor",'LAMPIRAN I DONE'!$F$21="Lektor Kepala",'LAMPIRAN I DONE'!$F$21="Guru Besar"),1,"")))+(((I123*J123)-(10-SUMPRODUCT($I$122:I122,$J$122:J122)))*IF('LAMPIRAN I DONE'!$F$21="Tenaga Pengajar",0.25,IF(OR('LAMPIRAN I DONE'!$F$21="Asisten Ahli",'LAMPIRAN I DONE'!$F$21="Lektor",'LAMPIRAN I DONE'!$F$21="Lektor Kepala",'LAMPIRAN I DONE'!$F$21="Guru Besar"),0.5,"")))),IF(OR(AND(L123="sks&gt;10",L122="sks&gt;10"),AND(L123="sks&gt;10",L122="sks&lt;=10")),I123*J123*IF('LAMPIRAN I DONE'!$F$21="Tenaga Pengajar",0.25,IF(OR('LAMPIRAN I DONE'!$F$21="Asisten Ahli",'LAMPIRAN I DONE'!$F$21="Lektor",'LAMPIRAN I DONE'!$F$21="Lektor Kepala",'LAMPIRAN I DONE'!$F$21="Guru Besar"),0.5,"")),I123*J123*IF('LAMPIRAN I DONE'!$F$21="Tenaga Pengajar",0.5,IF(OR('LAMPIRAN I DONE'!$F$21="Asisten Ahli",'LAMPIRAN I DONE'!$F$21="Lektor",'LAMPIRAN I DONE'!$F$21="Lektor Kepala",'LAMPIRAN I DONE'!$F$21="Guru Besar"),1,""))))),"rumus")</f>
        <v>rumus</v>
      </c>
      <c r="L123" s="27" t="str">
        <f>IF(AND(I123&lt;&gt;"",J123&lt;&gt;""),(IF(SUMPRODUCT($I$123:I123,$J$123:J123)&lt;=10,"SKS&lt;=10",IF(SUMPRODUCT($I$123:I123,$J$123:J123)&gt;10,"SKS&gt;10",""))),"rumus")</f>
        <v>rumus</v>
      </c>
    </row>
    <row r="124" spans="1:14" s="2" customFormat="1" ht="25.5" hidden="1" customHeight="1" x14ac:dyDescent="0.45">
      <c r="A124" s="67">
        <v>2</v>
      </c>
      <c r="B124" s="163" t="s">
        <v>81</v>
      </c>
      <c r="C124" s="28" t="s">
        <v>144</v>
      </c>
      <c r="D124" s="28" t="str">
        <f t="shared" ref="D124:D128" si="19">IF(G124&lt;&gt;"rumus","SKS","")</f>
        <v/>
      </c>
      <c r="E124" s="256" t="str">
        <f>IF(K124&lt;&gt;"rumus",(IF(OR(AND(L124="sks&gt;10",L123="sks&lt;=10",IFERROR(SUMPRODUCT($I$122:I123,$J$122:J123)&lt;10,FALSE)),AND(L124="sks&gt;10",L123="")),(((10-SUMPRODUCT($I$122:I123,$J$122:J123))&amp;" x "&amp;1)&amp;"
"&amp;(((I124*J124)-(10-SUMPRODUCT($I$122:I123,$J$122:J123)))&amp;" x "&amp;1)),(I124&amp;" x "&amp;J124))),"")</f>
        <v/>
      </c>
      <c r="F124" s="256" t="str">
        <f>IF(K124&lt;&gt;"rumus",(IF(OR(AND(L124="sks&gt;10",L123="sks&lt;=10",IFERROR(SUMPRODUCT($I$122:I123,$J$122:J123)&lt;10,FALSE)),AND(L124="sks&gt;10",L123="")),((IF('LAMPIRAN I DONE'!$F$21="Tenaga Pengajar",0.5,IF(OR('LAMPIRAN I DONE'!$F$21="Asisten Ahli",'LAMPIRAN I DONE'!$F$21="Lektor",'LAMPIRAN I DONE'!$F$21="Lektor Kepala",'LAMPIRAN I DONE'!$F$21="Guru Besar"),1,"")))&amp;"
"&amp;(IF('LAMPIRAN I DONE'!$F$21="Tenaga Pengajar",0.25,IF(OR('LAMPIRAN I DONE'!$F$21="Asisten Ahli",'LAMPIRAN I DONE'!$F$21="Lektor",'LAMPIRAN I DONE'!$F$21="Lektor Kepala",'LAMPIRAN I DONE'!$F$21="Guru Besar"),0.5,"")))),((IF(OR(AND(L124="sks&gt;10",L123="sks&gt;10"),AND(L124="sks&gt;10",L123="sks&lt;=10")),IF('LAMPIRAN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f>
        <v/>
      </c>
      <c r="G124" s="105" t="str">
        <f>IF(K124&lt;&gt;"rumus",(IF(OR(AND(L124="sks&gt;10",L123="sks&lt;=10",IFERROR(SUMPRODUCT($I$122:I123,$J$122:J123)&lt;10,FALSE)),AND(L124="sks&gt;10",L123="")),(((10-SUMPRODUCT($I$122:I123,$J$122:J123))&amp;" x "&amp;1&amp;" x "&amp;IF('LAMPIRAN I DONE'!$F$21="Tenaga Pengajar",0.5,IF(OR('LAMPIRAN I DONE'!$F$21="Asisten Ahli",'LAMPIRAN I DONE'!$F$21="Lektor",'LAMPIRAN I DONE'!$F$21="Lektor Kepala",'LAMPIRAN I DONE'!$F$21="Guru Besar"),1,""))&amp;" = "&amp;((10-SUMPRODUCT($I$122:I123,$J$122:J123))*IF('LAMPIRAN I DONE'!$F$21="Tenaga Pengajar",0.5,IF(OR('LAMPIRAN I DONE'!$F$21="Asisten Ahli",'LAMPIRAN I DONE'!$F$21="Lektor",'LAMPIRAN I DONE'!$F$21="Lektor Kepala",'LAMPIRAN I DONE'!$F$21="Guru Besar"),1,""))))&amp;"
"&amp;(((I124*J124)-(10-SUMPRODUCT($I$122:I123,$J$122:J123)))&amp;" x "&amp;1&amp;" x "&amp;IF('LAMPIRAN I DONE'!$F$21="Tenaga Pengajar",0.25,IF(OR('LAMPIRAN I DONE'!$F$21="Asisten Ahli",'LAMPIRAN I DONE'!$F$21="Lektor",'LAMPIRAN I DONE'!$F$21="Lektor Kepala",'LAMPIRAN I DONE'!$F$21="Guru Besar"),0.5,""))&amp;" = "&amp;(((I124*J124)-(10-SUMPRODUCT($I$122:I123,$J$122:J123)))*IF('LAMPIRAN I DONE'!$F$21="Tenaga Pengajar",0.25,IF(OR('LAMPIRAN I DONE'!$F$21="Asisten Ahli",'LAMPIRAN I DONE'!$F$21="Lektor",'LAMPIRAN I DONE'!$F$21="Lektor Kepala",'LAMPIRAN I DONE'!$F$21="Guru Besar"),0.5,""))))),(I124&amp;" x "&amp;J124&amp;" x "&amp;(IF(OR(AND(L124="sks&gt;10",L123="sks&gt;10"),AND(L124="sks&gt;10",L123="sks&lt;=10")),IF('LAMPIRAN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Besar"),1,""))))&amp;" = "&amp;K124))),"rumus")</f>
        <v>rumus</v>
      </c>
      <c r="H124" s="820" t="s">
        <v>620</v>
      </c>
      <c r="I124" s="34"/>
      <c r="J124" s="34"/>
      <c r="K124" s="27" t="str">
        <f>IF(AND(I124&lt;&gt;"",J124&lt;&gt;""),(IF(OR(AND(L124="sks&gt;10",L123="sks&lt;=10",IFERROR(SUMPRODUCT($I$122:I123,$J$122:J123)&lt;10,FALSE)),AND(L124="sks&gt;10",L123="")),(((10-SUMPRODUCT($I$122:I123,$J$122:J123))*IF('LAMPIRAN I DONE'!$F$21="Tenaga Pengajar",0.5,IF(OR('LAMPIRAN I DONE'!$F$21="Asisten Ahli",'LAMPIRAN I DONE'!$F$21="Lektor",'LAMPIRAN I DONE'!$F$21="Lektor Kepala",'LAMPIRAN I DONE'!$F$21="Guru Besar"),1,"")))+(((I124*J124)-(10-SUMPRODUCT($I$122:I123,$J$122:J123)))*IF('LAMPIRAN I DONE'!$F$21="Tenaga Pengajar",0.25,IF(OR('LAMPIRAN I DONE'!$F$21="Asisten Ahli",'LAMPIRAN I DONE'!$F$21="Lektor",'LAMPIRAN I DONE'!$F$21="Lektor Kepala",'LAMPIRAN I DONE'!$F$21="Guru Besar"),0.5,"")))),IF(OR(AND(L124="sks&gt;10",L123="sks&gt;10"),AND(L124="sks&gt;10",L123="sks&lt;=10")),I124*J124*IF('LAMPIRAN I DONE'!$F$21="Tenaga Pengajar",0.25,IF(OR('LAMPIRAN I DONE'!$F$21="Asisten Ahli",'LAMPIRAN I DONE'!$F$21="Lektor",'LAMPIRAN I DONE'!$F$21="Lektor Kepala",'LAMPIRAN I DONE'!$F$21="Guru Besar"),0.5,"")),I124*J124*IF('LAMPIRAN I DONE'!$F$21="Tenaga Pengajar",0.5,IF(OR('LAMPIRAN I DONE'!$F$21="Asisten Ahli",'LAMPIRAN I DONE'!$F$21="Lektor",'LAMPIRAN I DONE'!$F$21="Lektor Kepala",'LAMPIRAN I DONE'!$F$21="Guru Besar"),1,""))))),"rumus")</f>
        <v>rumus</v>
      </c>
      <c r="L124" s="27" t="str">
        <f>IF(AND(I124&lt;&gt;"",J124&lt;&gt;""),(IF(SUMPRODUCT($I$123:I124,$J$123:J124)&lt;=10,"SKS&lt;=10",IF(SUMPRODUCT($I$123:I124,$J$123:J124)&gt;10,"SKS&gt;10",""))),"rumus")</f>
        <v>rumus</v>
      </c>
    </row>
    <row r="125" spans="1:14" s="2" customFormat="1" ht="25.5" hidden="1" customHeight="1" x14ac:dyDescent="0.45">
      <c r="A125" s="67">
        <v>3</v>
      </c>
      <c r="B125" s="163" t="s">
        <v>81</v>
      </c>
      <c r="C125" s="28" t="s">
        <v>144</v>
      </c>
      <c r="D125" s="28" t="str">
        <f t="shared" si="19"/>
        <v/>
      </c>
      <c r="E125" s="256" t="str">
        <f>IF(K125&lt;&gt;"rumus",(IF(OR(AND(L125="sks&gt;10",L124="sks&lt;=10",IFERROR(SUMPRODUCT($I$122:I124,$J$122:J124)&lt;10,FALSE)),AND(L125="sks&gt;10",L124="")),(((10-SUMPRODUCT($I$122:I124,$J$122:J124))&amp;" x "&amp;1)&amp;"
"&amp;(((I125*J125)-(10-SUMPRODUCT($I$122:I124,$J$122:J124)))&amp;" x "&amp;1)),(I125&amp;" x "&amp;J125))),"")</f>
        <v/>
      </c>
      <c r="F125" s="256" t="str">
        <f>IF(K125&lt;&gt;"rumus",(IF(OR(AND(L125="sks&gt;10",L124="sks&lt;=10",IFERROR(SUMPRODUCT($I$122:I124,$J$122:J124)&lt;10,FALSE)),AND(L125="sks&gt;10",L124="")),((IF('LAMPIRAN I DONE'!$F$21="Tenaga Pengajar",0.5,IF(OR('LAMPIRAN I DONE'!$F$21="Asisten Ahli",'LAMPIRAN I DONE'!$F$21="Lektor",'LAMPIRAN I DONE'!$F$21="Lektor Kepala",'LAMPIRAN I DONE'!$F$21="Guru Besar"),1,"")))&amp;"
"&amp;(IF('LAMPIRAN I DONE'!$F$21="Tenaga Pengajar",0.25,IF(OR('LAMPIRAN I DONE'!$F$21="Asisten Ahli",'LAMPIRAN I DONE'!$F$21="Lektor",'LAMPIRAN I DONE'!$F$21="Lektor Kepala",'LAMPIRAN I DONE'!$F$21="Guru Besar"),0.5,"")))),((IF(OR(AND(L125="sks&gt;10",L124="sks&gt;10"),AND(L125="sks&gt;10",L124="sks&lt;=10")),IF('LAMPIRAN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f>
        <v/>
      </c>
      <c r="G125" s="105" t="str">
        <f>IF(K125&lt;&gt;"rumus",(IF(OR(AND(L125="sks&gt;10",L124="sks&lt;=10",IFERROR(SUMPRODUCT($I$122:I124,$J$122:J124)&lt;10,FALSE)),AND(L125="sks&gt;10",L124="")),(((10-SUMPRODUCT($I$122:I124,$J$122:J124))&amp;" x "&amp;1&amp;" x "&amp;IF('LAMPIRAN I DONE'!$F$21="Tenaga Pengajar",0.5,IF(OR('LAMPIRAN I DONE'!$F$21="Asisten Ahli",'LAMPIRAN I DONE'!$F$21="Lektor",'LAMPIRAN I DONE'!$F$21="Lektor Kepala",'LAMPIRAN I DONE'!$F$21="Guru Besar"),1,""))&amp;" = "&amp;((10-SUMPRODUCT($I$122:I124,$J$122:J124))*IF('LAMPIRAN I DONE'!$F$21="Tenaga Pengajar",0.5,IF(OR('LAMPIRAN I DONE'!$F$21="Asisten Ahli",'LAMPIRAN I DONE'!$F$21="Lektor",'LAMPIRAN I DONE'!$F$21="Lektor Kepala",'LAMPIRAN I DONE'!$F$21="Guru Besar"),1,""))))&amp;"
"&amp;(((I125*J125)-(10-SUMPRODUCT($I$122:I124,$J$122:J124)))&amp;" x "&amp;1&amp;" x "&amp;IF('LAMPIRAN I DONE'!$F$21="Tenaga Pengajar",0.25,IF(OR('LAMPIRAN I DONE'!$F$21="Asisten Ahli",'LAMPIRAN I DONE'!$F$21="Lektor",'LAMPIRAN I DONE'!$F$21="Lektor Kepala",'LAMPIRAN I DONE'!$F$21="Guru Besar"),0.5,""))&amp;" = "&amp;(((I125*J125)-(10-SUMPRODUCT($I$122:I124,$J$122:J124)))*IF('LAMPIRAN I DONE'!$F$21="Tenaga Pengajar",0.25,IF(OR('LAMPIRAN I DONE'!$F$21="Asisten Ahli",'LAMPIRAN I DONE'!$F$21="Lektor",'LAMPIRAN I DONE'!$F$21="Lektor Kepala",'LAMPIRAN I DONE'!$F$21="Guru Besar"),0.5,""))))),(I125&amp;" x "&amp;J125&amp;" x "&amp;(IF(OR(AND(L125="sks&gt;10",L124="sks&gt;10"),AND(L125="sks&gt;10",L124="sks&lt;=10")),IF('LAMPIRAN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Besar"),1,""))))&amp;" = "&amp;K125))),"rumus")</f>
        <v>rumus</v>
      </c>
      <c r="H125" s="820" t="s">
        <v>620</v>
      </c>
      <c r="I125" s="34"/>
      <c r="J125" s="34"/>
      <c r="K125" s="27" t="str">
        <f>IF(AND(I125&lt;&gt;"",J125&lt;&gt;""),(IF(OR(AND(L125="sks&gt;10",L124="sks&lt;=10",IFERROR(SUMPRODUCT($I$122:I124,$J$122:J124)&lt;10,FALSE)),AND(L125="sks&gt;10",L124="")),(((10-SUMPRODUCT($I$122:I124,$J$122:J124))*IF('LAMPIRAN I DONE'!$F$21="Tenaga Pengajar",0.5,IF(OR('LAMPIRAN I DONE'!$F$21="Asisten Ahli",'LAMPIRAN I DONE'!$F$21="Lektor",'LAMPIRAN I DONE'!$F$21="Lektor Kepala",'LAMPIRAN I DONE'!$F$21="Guru Besar"),1,"")))+(((I125*J125)-(10-SUMPRODUCT($I$122:I124,$J$122:J124)))*IF('LAMPIRAN I DONE'!$F$21="Tenaga Pengajar",0.25,IF(OR('LAMPIRAN I DONE'!$F$21="Asisten Ahli",'LAMPIRAN I DONE'!$F$21="Lektor",'LAMPIRAN I DONE'!$F$21="Lektor Kepala",'LAMPIRAN I DONE'!$F$21="Guru Besar"),0.5,"")))),IF(OR(AND(L125="sks&gt;10",L124="sks&gt;10"),AND(L125="sks&gt;10",L124="sks&lt;=10")),I125*J125*IF('LAMPIRAN I DONE'!$F$21="Tenaga Pengajar",0.25,IF(OR('LAMPIRAN I DONE'!$F$21="Asisten Ahli",'LAMPIRAN I DONE'!$F$21="Lektor",'LAMPIRAN I DONE'!$F$21="Lektor Kepala",'LAMPIRAN I DONE'!$F$21="Guru Besar"),0.5,"")),I125*J125*IF('LAMPIRAN I DONE'!$F$21="Tenaga Pengajar",0.5,IF(OR('LAMPIRAN I DONE'!$F$21="Asisten Ahli",'LAMPIRAN I DONE'!$F$21="Lektor",'LAMPIRAN I DONE'!$F$21="Lektor Kepala",'LAMPIRAN I DONE'!$F$21="Guru Besar"),1,""))))),"rumus")</f>
        <v>rumus</v>
      </c>
      <c r="L125" s="27" t="str">
        <f>IF(AND(I125&lt;&gt;"",J125&lt;&gt;""),(IF(SUMPRODUCT($I$123:I125,$J$123:J125)&lt;=10,"SKS&lt;=10",IF(SUMPRODUCT($I$123:I125,$J$123:J125)&gt;10,"SKS&gt;10",""))),"rumus")</f>
        <v>rumus</v>
      </c>
    </row>
    <row r="126" spans="1:14" s="2" customFormat="1" ht="25.5" hidden="1" customHeight="1" x14ac:dyDescent="0.45">
      <c r="A126" s="67">
        <v>4</v>
      </c>
      <c r="B126" s="163" t="s">
        <v>81</v>
      </c>
      <c r="C126" s="28" t="s">
        <v>144</v>
      </c>
      <c r="D126" s="28" t="str">
        <f t="shared" si="19"/>
        <v/>
      </c>
      <c r="E126" s="256" t="str">
        <f>IF(K126&lt;&gt;"rumus",(IF(OR(AND(L126="sks&gt;10",L125="sks&lt;=10",IFERROR(SUMPRODUCT($I$122:I125,$J$122:J125)&lt;10,FALSE)),AND(L126="sks&gt;10",L125="")),(((10-SUMPRODUCT($I$122:I125,$J$122:J125))&amp;" x "&amp;1)&amp;"
"&amp;(((I126*J126)-(10-SUMPRODUCT($I$122:I125,$J$122:J125)))&amp;" x "&amp;1)),(I126&amp;" x "&amp;J126))),"")</f>
        <v/>
      </c>
      <c r="F126" s="256" t="str">
        <f>IF(K126&lt;&gt;"rumus",(IF(OR(AND(L126="sks&gt;10",L125="sks&lt;=10",IFERROR(SUMPRODUCT($I$122:I125,$J$122:J125)&lt;10,FALSE)),AND(L126="sks&gt;10",L125="")),((IF('LAMPIRAN I DONE'!$F$21="Tenaga Pengajar",0.5,IF(OR('LAMPIRAN I DONE'!$F$21="Asisten Ahli",'LAMPIRAN I DONE'!$F$21="Lektor",'LAMPIRAN I DONE'!$F$21="Lektor Kepala",'LAMPIRAN I DONE'!$F$21="Guru Besar"),1,"")))&amp;"
"&amp;(IF('LAMPIRAN I DONE'!$F$21="Tenaga Pengajar",0.25,IF(OR('LAMPIRAN I DONE'!$F$21="Asisten Ahli",'LAMPIRAN I DONE'!$F$21="Lektor",'LAMPIRAN I DONE'!$F$21="Lektor Kepala",'LAMPIRAN I DONE'!$F$21="Guru Besar"),0.5,"")))),((IF(OR(AND(L126="sks&gt;10",L125="sks&gt;10"),AND(L126="sks&gt;10",L125="sks&lt;=10")),IF('LAMPIRAN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f>
        <v/>
      </c>
      <c r="G126" s="105" t="str">
        <f>IF(K126&lt;&gt;"rumus",(IF(OR(AND(L126="sks&gt;10",L125="sks&lt;=10",IFERROR(SUMPRODUCT($I$122:I125,$J$122:J125)&lt;10,FALSE)),AND(L126="sks&gt;10",L125="")),(((10-SUMPRODUCT($I$122:I125,$J$122:J125))&amp;" x "&amp;1&amp;" x "&amp;IF('LAMPIRAN I DONE'!$F$21="Tenaga Pengajar",0.5,IF(OR('LAMPIRAN I DONE'!$F$21="Asisten Ahli",'LAMPIRAN I DONE'!$F$21="Lektor",'LAMPIRAN I DONE'!$F$21="Lektor Kepala",'LAMPIRAN I DONE'!$F$21="Guru Besar"),1,""))&amp;" = "&amp;((10-SUMPRODUCT($I$122:I125,$J$122:J125))*IF('LAMPIRAN I DONE'!$F$21="Tenaga Pengajar",0.5,IF(OR('LAMPIRAN I DONE'!$F$21="Asisten Ahli",'LAMPIRAN I DONE'!$F$21="Lektor",'LAMPIRAN I DONE'!$F$21="Lektor Kepala",'LAMPIRAN I DONE'!$F$21="Guru Besar"),1,""))))&amp;"
"&amp;(((I126*J126)-(10-SUMPRODUCT($I$122:I125,$J$122:J125)))&amp;" x "&amp;1&amp;" x "&amp;IF('LAMPIRAN I DONE'!$F$21="Tenaga Pengajar",0.25,IF(OR('LAMPIRAN I DONE'!$F$21="Asisten Ahli",'LAMPIRAN I DONE'!$F$21="Lektor",'LAMPIRAN I DONE'!$F$21="Lektor Kepala",'LAMPIRAN I DONE'!$F$21="Guru Besar"),0.5,""))&amp;" = "&amp;(((I126*J126)-(10-SUMPRODUCT($I$122:I125,$J$122:J125)))*IF('LAMPIRAN I DONE'!$F$21="Tenaga Pengajar",0.25,IF(OR('LAMPIRAN I DONE'!$F$21="Asisten Ahli",'LAMPIRAN I DONE'!$F$21="Lektor",'LAMPIRAN I DONE'!$F$21="Lektor Kepala",'LAMPIRAN I DONE'!$F$21="Guru Besar"),0.5,""))))),(I126&amp;" x "&amp;J126&amp;" x "&amp;(IF(OR(AND(L126="sks&gt;10",L125="sks&gt;10"),AND(L126="sks&gt;10",L125="sks&lt;=10")),IF('LAMPIRAN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Besar"),1,""))))&amp;" = "&amp;K126))),"rumus")</f>
        <v>rumus</v>
      </c>
      <c r="H126" s="820" t="s">
        <v>620</v>
      </c>
      <c r="I126" s="34"/>
      <c r="J126" s="34"/>
      <c r="K126" s="27" t="str">
        <f>IF(AND(I126&lt;&gt;"",J126&lt;&gt;""),(IF(OR(AND(L126="sks&gt;10",L125="sks&lt;=10",IFERROR(SUMPRODUCT($I$122:I125,$J$122:J125)&lt;10,FALSE)),AND(L126="sks&gt;10",L125="")),(((10-SUMPRODUCT($I$122:I125,$J$122:J125))*IF('LAMPIRAN I DONE'!$F$21="Tenaga Pengajar",0.5,IF(OR('LAMPIRAN I DONE'!$F$21="Asisten Ahli",'LAMPIRAN I DONE'!$F$21="Lektor",'LAMPIRAN I DONE'!$F$21="Lektor Kepala",'LAMPIRAN I DONE'!$F$21="Guru Besar"),1,"")))+(((I126*J126)-(10-SUMPRODUCT($I$122:I125,$J$122:J125)))*IF('LAMPIRAN I DONE'!$F$21="Tenaga Pengajar",0.25,IF(OR('LAMPIRAN I DONE'!$F$21="Asisten Ahli",'LAMPIRAN I DONE'!$F$21="Lektor",'LAMPIRAN I DONE'!$F$21="Lektor Kepala",'LAMPIRAN I DONE'!$F$21="Guru Besar"),0.5,"")))),IF(OR(AND(L126="sks&gt;10",L125="sks&gt;10"),AND(L126="sks&gt;10",L125="sks&lt;=10")),I126*J126*IF('LAMPIRAN I DONE'!$F$21="Tenaga Pengajar",0.25,IF(OR('LAMPIRAN I DONE'!$F$21="Asisten Ahli",'LAMPIRAN I DONE'!$F$21="Lektor",'LAMPIRAN I DONE'!$F$21="Lektor Kepala",'LAMPIRAN I DONE'!$F$21="Guru Besar"),0.5,"")),I126*J126*IF('LAMPIRAN I DONE'!$F$21="Tenaga Pengajar",0.5,IF(OR('LAMPIRAN I DONE'!$F$21="Asisten Ahli",'LAMPIRAN I DONE'!$F$21="Lektor",'LAMPIRAN I DONE'!$F$21="Lektor Kepala",'LAMPIRAN I DONE'!$F$21="Guru Besar"),1,""))))),"rumus")</f>
        <v>rumus</v>
      </c>
      <c r="L126" s="27" t="str">
        <f>IF(AND(I126&lt;&gt;"",J126&lt;&gt;""),(IF(SUMPRODUCT($I$123:I126,$J$123:J126)&lt;=10,"SKS&lt;=10",IF(SUMPRODUCT($I$123:I126,$J$123:J126)&gt;10,"SKS&gt;10",""))),"rumus")</f>
        <v>rumus</v>
      </c>
    </row>
    <row r="127" spans="1:14" s="2" customFormat="1" ht="25.5" hidden="1" customHeight="1" x14ac:dyDescent="0.45">
      <c r="A127" s="67">
        <v>5</v>
      </c>
      <c r="B127" s="163" t="s">
        <v>81</v>
      </c>
      <c r="C127" s="28" t="s">
        <v>144</v>
      </c>
      <c r="D127" s="28" t="str">
        <f t="shared" si="19"/>
        <v/>
      </c>
      <c r="E127" s="256" t="str">
        <f>IF(K127&lt;&gt;"rumus",(IF(OR(AND(L127="sks&gt;10",L126="sks&lt;=10",IFERROR(SUMPRODUCT($I$122:I126,$J$122:J126)&lt;10,FALSE)),AND(L127="sks&gt;10",L126="")),(((10-SUMPRODUCT($I$122:I126,$J$122:J126))&amp;" x "&amp;1)&amp;"
"&amp;(((I127*J127)-(10-SUMPRODUCT($I$122:I126,$J$122:J126)))&amp;" x "&amp;1)),(I127&amp;" x "&amp;J127))),"")</f>
        <v/>
      </c>
      <c r="F127" s="256" t="str">
        <f>IF(K127&lt;&gt;"rumus",(IF(OR(AND(L127="sks&gt;10",L126="sks&lt;=10",IFERROR(SUMPRODUCT($I$122:I126,$J$122:J126)&lt;10,FALSE)),AND(L127="sks&gt;10",L126="")),((IF('LAMPIRAN I DONE'!$F$21="Tenaga Pengajar",0.5,IF(OR('LAMPIRAN I DONE'!$F$21="Asisten Ahli",'LAMPIRAN I DONE'!$F$21="Lektor",'LAMPIRAN I DONE'!$F$21="Lektor Kepala",'LAMPIRAN I DONE'!$F$21="Guru Besar"),1,"")))&amp;"
"&amp;(IF('LAMPIRAN I DONE'!$F$21="Tenaga Pengajar",0.25,IF(OR('LAMPIRAN I DONE'!$F$21="Asisten Ahli",'LAMPIRAN I DONE'!$F$21="Lektor",'LAMPIRAN I DONE'!$F$21="Lektor Kepala",'LAMPIRAN I DONE'!$F$21="Guru Besar"),0.5,"")))),((IF(OR(AND(L127="sks&gt;10",L126="sks&gt;10"),AND(L127="sks&gt;10",L126="sks&lt;=10")),IF('LAMPIRAN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f>
        <v/>
      </c>
      <c r="G127" s="105" t="str">
        <f>IF(K127&lt;&gt;"rumus",(IF(OR(AND(L127="sks&gt;10",L126="sks&lt;=10",IFERROR(SUMPRODUCT($I$122:I126,$J$122:J126)&lt;10,FALSE)),AND(L127="sks&gt;10",L126="")),(((10-SUMPRODUCT($I$122:I126,$J$122:J126))&amp;" x "&amp;1&amp;" x "&amp;IF('LAMPIRAN I DONE'!$F$21="Tenaga Pengajar",0.5,IF(OR('LAMPIRAN I DONE'!$F$21="Asisten Ahli",'LAMPIRAN I DONE'!$F$21="Lektor",'LAMPIRAN I DONE'!$F$21="Lektor Kepala",'LAMPIRAN I DONE'!$F$21="Guru Besar"),1,""))&amp;" = "&amp;((10-SUMPRODUCT($I$122:I126,$J$122:J126))*IF('LAMPIRAN I DONE'!$F$21="Tenaga Pengajar",0.5,IF(OR('LAMPIRAN I DONE'!$F$21="Asisten Ahli",'LAMPIRAN I DONE'!$F$21="Lektor",'LAMPIRAN I DONE'!$F$21="Lektor Kepala",'LAMPIRAN I DONE'!$F$21="Guru Besar"),1,""))))&amp;"
"&amp;(((I127*J127)-(10-SUMPRODUCT($I$122:I126,$J$122:J126)))&amp;" x "&amp;1&amp;" x "&amp;IF('LAMPIRAN I DONE'!$F$21="Tenaga Pengajar",0.25,IF(OR('LAMPIRAN I DONE'!$F$21="Asisten Ahli",'LAMPIRAN I DONE'!$F$21="Lektor",'LAMPIRAN I DONE'!$F$21="Lektor Kepala",'LAMPIRAN I DONE'!$F$21="Guru Besar"),0.5,""))&amp;" = "&amp;(((I127*J127)-(10-SUMPRODUCT($I$122:I126,$J$122:J126)))*IF('LAMPIRAN I DONE'!$F$21="Tenaga Pengajar",0.25,IF(OR('LAMPIRAN I DONE'!$F$21="Asisten Ahli",'LAMPIRAN I DONE'!$F$21="Lektor",'LAMPIRAN I DONE'!$F$21="Lektor Kepala",'LAMPIRAN I DONE'!$F$21="Guru Besar"),0.5,""))))),(I127&amp;" x "&amp;J127&amp;" x "&amp;(IF(OR(AND(L127="sks&gt;10",L126="sks&gt;10"),AND(L127="sks&gt;10",L126="sks&lt;=10")),IF('LAMPIRAN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Besar"),1,""))))&amp;" = "&amp;K127))),"rumus")</f>
        <v>rumus</v>
      </c>
      <c r="H127" s="820" t="s">
        <v>620</v>
      </c>
      <c r="I127" s="34"/>
      <c r="J127" s="34"/>
      <c r="K127" s="27" t="str">
        <f>IF(AND(I127&lt;&gt;"",J127&lt;&gt;""),(IF(OR(AND(L127="sks&gt;10",L126="sks&lt;=10",IFERROR(SUMPRODUCT($I$122:I126,$J$122:J126)&lt;10,FALSE)),AND(L127="sks&gt;10",L126="")),(((10-SUMPRODUCT($I$122:I126,$J$122:J126))*IF('LAMPIRAN I DONE'!$F$21="Tenaga Pengajar",0.5,IF(OR('LAMPIRAN I DONE'!$F$21="Asisten Ahli",'LAMPIRAN I DONE'!$F$21="Lektor",'LAMPIRAN I DONE'!$F$21="Lektor Kepala",'LAMPIRAN I DONE'!$F$21="Guru Besar"),1,"")))+(((I127*J127)-(10-SUMPRODUCT($I$122:I126,$J$122:J126)))*IF('LAMPIRAN I DONE'!$F$21="Tenaga Pengajar",0.25,IF(OR('LAMPIRAN I DONE'!$F$21="Asisten Ahli",'LAMPIRAN I DONE'!$F$21="Lektor",'LAMPIRAN I DONE'!$F$21="Lektor Kepala",'LAMPIRAN I DONE'!$F$21="Guru Besar"),0.5,"")))),IF(OR(AND(L127="sks&gt;10",L126="sks&gt;10"),AND(L127="sks&gt;10",L126="sks&lt;=10")),I127*J127*IF('LAMPIRAN I DONE'!$F$21="Tenaga Pengajar",0.25,IF(OR('LAMPIRAN I DONE'!$F$21="Asisten Ahli",'LAMPIRAN I DONE'!$F$21="Lektor",'LAMPIRAN I DONE'!$F$21="Lektor Kepala",'LAMPIRAN I DONE'!$F$21="Guru Besar"),0.5,"")),I127*J127*IF('LAMPIRAN I DONE'!$F$21="Tenaga Pengajar",0.5,IF(OR('LAMPIRAN I DONE'!$F$21="Asisten Ahli",'LAMPIRAN I DONE'!$F$21="Lektor",'LAMPIRAN I DONE'!$F$21="Lektor Kepala",'LAMPIRAN I DONE'!$F$21="Guru Besar"),1,""))))),"rumus")</f>
        <v>rumus</v>
      </c>
      <c r="L127" s="27" t="str">
        <f>IF(AND(I127&lt;&gt;"",J127&lt;&gt;""),(IF(SUMPRODUCT($I$123:I127,$J$123:J127)&lt;=10,"SKS&lt;=10",IF(SUMPRODUCT($I$123:I127,$J$123:J127)&gt;10,"SKS&gt;10",""))),"rumus")</f>
        <v>rumus</v>
      </c>
    </row>
    <row r="128" spans="1:14" s="2" customFormat="1" ht="25.5" hidden="1" customHeight="1" x14ac:dyDescent="0.45">
      <c r="A128" s="67">
        <v>6</v>
      </c>
      <c r="B128" s="163" t="s">
        <v>81</v>
      </c>
      <c r="C128" s="28" t="s">
        <v>144</v>
      </c>
      <c r="D128" s="28" t="str">
        <f t="shared" si="19"/>
        <v/>
      </c>
      <c r="E128" s="256" t="str">
        <f>IF(K128&lt;&gt;"rumus",(IF(OR(AND(L128="sks&gt;10",L127="sks&lt;=10",IFERROR(SUMPRODUCT($I$122:I127,$J$122:J127)&lt;10,FALSE)),AND(L128="sks&gt;10",L127="")),(((10-SUMPRODUCT($I$122:I127,$J$122:J127))&amp;" x "&amp;1)&amp;"
"&amp;(((I128*J128)-(10-SUMPRODUCT($I$122:I127,$J$122:J127)))&amp;" x "&amp;1)),(I128&amp;" x "&amp;J128))),"")</f>
        <v/>
      </c>
      <c r="F128" s="256" t="str">
        <f>IF(K128&lt;&gt;"rumus",(IF(OR(AND(L128="sks&gt;10",L127="sks&lt;=10",IFERROR(SUMPRODUCT($I$122:I127,$J$122:J127)&lt;10,FALSE)),AND(L128="sks&gt;10",L127="")),((IF('LAMPIRAN I DONE'!$F$21="Tenaga Pengajar",0.5,IF(OR('LAMPIRAN I DONE'!$F$21="Asisten Ahli",'LAMPIRAN I DONE'!$F$21="Lektor",'LAMPIRAN I DONE'!$F$21="Lektor Kepala",'LAMPIRAN I DONE'!$F$21="Guru Besar"),1,"")))&amp;"
"&amp;(IF('LAMPIRAN I DONE'!$F$21="Tenaga Pengajar",0.25,IF(OR('LAMPIRAN I DONE'!$F$21="Asisten Ahli",'LAMPIRAN I DONE'!$F$21="Lektor",'LAMPIRAN I DONE'!$F$21="Lektor Kepala",'LAMPIRAN I DONE'!$F$21="Guru Besar"),0.5,"")))),((IF(OR(AND(L128="sks&gt;10",L127="sks&gt;10"),AND(L128="sks&gt;10",L127="sks&lt;=10")),IF('LAMPIRAN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f>
        <v/>
      </c>
      <c r="G128" s="105" t="str">
        <f>IF(K128&lt;&gt;"rumus",(IF(OR(AND(L128="sks&gt;10",L127="sks&lt;=10",IFERROR(SUMPRODUCT($I$122:I127,$J$122:J127)&lt;10,FALSE)),AND(L128="sks&gt;10",L127="")),(((10-SUMPRODUCT($I$122:I127,$J$122:J127))&amp;" x "&amp;1&amp;" x "&amp;IF('LAMPIRAN I DONE'!$F$21="Tenaga Pengajar",0.5,IF(OR('LAMPIRAN I DONE'!$F$21="Asisten Ahli",'LAMPIRAN I DONE'!$F$21="Lektor",'LAMPIRAN I DONE'!$F$21="Lektor Kepala",'LAMPIRAN I DONE'!$F$21="Guru Besar"),1,""))&amp;" = "&amp;((10-SUMPRODUCT($I$122:I127,$J$122:J127))*IF('LAMPIRAN I DONE'!$F$21="Tenaga Pengajar",0.5,IF(OR('LAMPIRAN I DONE'!$F$21="Asisten Ahli",'LAMPIRAN I DONE'!$F$21="Lektor",'LAMPIRAN I DONE'!$F$21="Lektor Kepala",'LAMPIRAN I DONE'!$F$21="Guru Besar"),1,""))))&amp;"
"&amp;(((I128*J128)-(10-SUMPRODUCT($I$122:I127,$J$122:J127)))&amp;" x "&amp;1&amp;" x "&amp;IF('LAMPIRAN I DONE'!$F$21="Tenaga Pengajar",0.25,IF(OR('LAMPIRAN I DONE'!$F$21="Asisten Ahli",'LAMPIRAN I DONE'!$F$21="Lektor",'LAMPIRAN I DONE'!$F$21="Lektor Kepala",'LAMPIRAN I DONE'!$F$21="Guru Besar"),0.5,""))&amp;" = "&amp;(((I128*J128)-(10-SUMPRODUCT($I$122:I127,$J$122:J127)))*IF('LAMPIRAN I DONE'!$F$21="Tenaga Pengajar",0.25,IF(OR('LAMPIRAN I DONE'!$F$21="Asisten Ahli",'LAMPIRAN I DONE'!$F$21="Lektor",'LAMPIRAN I DONE'!$F$21="Lektor Kepala",'LAMPIRAN I DONE'!$F$21="Guru Besar"),0.5,""))))),(I128&amp;" x "&amp;J128&amp;" x "&amp;(IF(OR(AND(L128="sks&gt;10",L127="sks&gt;10"),AND(L128="sks&gt;10",L127="sks&lt;=10")),IF('LAMPIRAN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Besar"),1,""))))&amp;" = "&amp;K128))),"rumus")</f>
        <v>rumus</v>
      </c>
      <c r="H128" s="820" t="s">
        <v>620</v>
      </c>
      <c r="I128" s="34"/>
      <c r="J128" s="34"/>
      <c r="K128" s="27" t="str">
        <f>IF(AND(I128&lt;&gt;"",J128&lt;&gt;""),(IF(OR(AND(L128="sks&gt;10",L127="sks&lt;=10",IFERROR(SUMPRODUCT($I$122:I127,$J$122:J127)&lt;10,FALSE)),AND(L128="sks&gt;10",L127="")),(((10-SUMPRODUCT($I$122:I127,$J$122:J127))*IF('LAMPIRAN I DONE'!$F$21="Tenaga Pengajar",0.5,IF(OR('LAMPIRAN I DONE'!$F$21="Asisten Ahli",'LAMPIRAN I DONE'!$F$21="Lektor",'LAMPIRAN I DONE'!$F$21="Lektor Kepala",'LAMPIRAN I DONE'!$F$21="Guru Besar"),1,"")))+(((I128*J128)-(10-SUMPRODUCT($I$122:I127,$J$122:J127)))*IF('LAMPIRAN I DONE'!$F$21="Tenaga Pengajar",0.25,IF(OR('LAMPIRAN I DONE'!$F$21="Asisten Ahli",'LAMPIRAN I DONE'!$F$21="Lektor",'LAMPIRAN I DONE'!$F$21="Lektor Kepala",'LAMPIRAN I DONE'!$F$21="Guru Besar"),0.5,"")))),IF(OR(AND(L128="sks&gt;10",L127="sks&gt;10"),AND(L128="sks&gt;10",L127="sks&lt;=10")),I128*J128*IF('LAMPIRAN I DONE'!$F$21="Tenaga Pengajar",0.25,IF(OR('LAMPIRAN I DONE'!$F$21="Asisten Ahli",'LAMPIRAN I DONE'!$F$21="Lektor",'LAMPIRAN I DONE'!$F$21="Lektor Kepala",'LAMPIRAN I DONE'!$F$21="Guru Besar"),0.5,"")),I128*J128*IF('LAMPIRAN I DONE'!$F$21="Tenaga Pengajar",0.5,IF(OR('LAMPIRAN I DONE'!$F$21="Asisten Ahli",'LAMPIRAN I DONE'!$F$21="Lektor",'LAMPIRAN I DONE'!$F$21="Lektor Kepala",'LAMPIRAN I DONE'!$F$21="Guru Besar"),1,""))))),"rumus")</f>
        <v>rumus</v>
      </c>
      <c r="L128" s="27" t="str">
        <f>IF(AND(I128&lt;&gt;"",J128&lt;&gt;""),(IF(SUMPRODUCT($I$123:I128,$J$123:J128)&lt;=10,"SKS&lt;=10",IF(SUMPRODUCT($I$123:I128,$J$123:J128)&gt;10,"SKS&gt;10",""))),"rumus")</f>
        <v>rumus</v>
      </c>
    </row>
    <row r="129" spans="1:14" s="110" customFormat="1" ht="15" hidden="1" customHeight="1" x14ac:dyDescent="0.45">
      <c r="A129" s="69"/>
      <c r="B129" s="168" t="str">
        <f>"b. Semester Genap "&amp;IF(C130&lt;&gt;"",C130,"")&amp;" :"</f>
        <v>b. Semester Genap 2008/2009 :</v>
      </c>
      <c r="C129" s="111"/>
      <c r="D129" s="111"/>
      <c r="E129" s="111"/>
      <c r="F129" s="111"/>
      <c r="G129" s="111"/>
      <c r="H129" s="112"/>
      <c r="I129" s="496"/>
      <c r="J129" s="496"/>
      <c r="M129" s="104">
        <f>IF((AND(N129="Max 5,5",SUM(K123:K128)&lt;=5.5)),SUM(K123:K128),IF((AND(N129="Max 5,5",SUM(K123:K128)&gt;5.5)),5.5,IF((AND(N129="Max 11",SUM(K123:K128)&lt;=11)),SUM(K123:K128),IF((AND(N129="Max 11",SUM(K123:K128)&gt;11)),11,""))))</f>
        <v>0</v>
      </c>
      <c r="N129" s="33" t="str">
        <f>IF('LAMPIRAN I DONE'!$F$21="Tenaga Pengajar","Max 5,5",IF(OR('LAMPIRAN I DONE'!$F$21="Asisten Ahli",'LAMPIRAN I DONE'!$F$21="Lektor",'LAMPIRAN I DONE'!$F$21="Lektor Kepala",'LAMPIRAN I DONE'!$F$21="Guru Besar"),"Max 11",""))</f>
        <v>Max 11</v>
      </c>
    </row>
    <row r="130" spans="1:14" s="2" customFormat="1" ht="25.5" hidden="1" customHeight="1" x14ac:dyDescent="0.45">
      <c r="A130" s="67">
        <v>1</v>
      </c>
      <c r="B130" s="163" t="s">
        <v>81</v>
      </c>
      <c r="C130" s="28" t="s">
        <v>145</v>
      </c>
      <c r="D130" s="28" t="str">
        <f>IF(G130&lt;&gt;"rumus","SKS","")</f>
        <v/>
      </c>
      <c r="E130" s="256" t="str">
        <f>IF(K130&lt;&gt;"rumus",(IF(OR(AND(L130="sks&gt;10",L129="sks&lt;=10",IFERROR(SUMPRODUCT($I$129:I129,$J$129:J129)&lt;10,FALSE)),AND(L130="sks&gt;10",L129="")),(((10-SUMPRODUCT($I$129:I129,$J$129:J129))&amp;" x "&amp;1)&amp;"
"&amp;(((I130*J130)-(10-SUMPRODUCT($I$129:I129,$J$129:J129)))&amp;" x "&amp;1)),(I130&amp;" x "&amp;J130))),"")</f>
        <v/>
      </c>
      <c r="F130" s="256" t="str">
        <f>IF(K130&lt;&gt;"rumus",(IF(OR(AND(L130="sks&gt;10",L129="sks&lt;=10",IFERROR(SUMPRODUCT($I$129:I129,$J$129:J129)&lt;10,FALSE)),AND(L130="sks&gt;10",L129="")),((IF('LAMPIRAN I DONE'!$F$21="Tenaga Pengajar",0.5,IF(OR('LAMPIRAN I DONE'!$F$21="Asisten Ahli",'LAMPIRAN I DONE'!$F$21="Lektor",'LAMPIRAN I DONE'!$F$21="Lektor Kepala",'LAMPIRAN I DONE'!$F$21="Guru Besar"),1,"")))&amp;"
"&amp;(IF('LAMPIRAN I DONE'!$F$21="Tenaga Pengajar",0.25,IF(OR('LAMPIRAN I DONE'!$F$21="Asisten Ahli",'LAMPIRAN I DONE'!$F$21="Lektor",'LAMPIRAN I DONE'!$F$21="Lektor Kepala",'LAMPIRAN I DONE'!$F$21="Guru Besar"),0.5,"")))),((IF(OR(AND(L130="sks&gt;10",L129="sks&gt;10"),AND(L130="sks&gt;10",L129="sks&lt;=10")),IF('LAMPIRAN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f>
        <v/>
      </c>
      <c r="G130" s="105" t="str">
        <f>IF(K130&lt;&gt;"rumus",(IF(OR(AND(L130="sks&gt;10",L129="sks&lt;=10",IFERROR(SUMPRODUCT($I$129:I129,$J$129:J129)&lt;10,FALSE)),AND(L130="sks&gt;10",L129="")),(((10-SUMPRODUCT($I$129:I129,$J$129:J129))&amp;" x "&amp;1&amp;" x "&amp;IF('LAMPIRAN I DONE'!$F$21="Tenaga Pengajar",0.5,IF(OR('LAMPIRAN I DONE'!$F$21="Asisten Ahli",'LAMPIRAN I DONE'!$F$21="Lektor",'LAMPIRAN I DONE'!$F$21="Lektor Kepala",'LAMPIRAN I DONE'!$F$21="Guru Besar"),1,""))&amp;" = "&amp;((10-SUMPRODUCT($I$129:I129,$J$129:J129))*IF('LAMPIRAN I DONE'!$F$21="Tenaga Pengajar",0.5,IF(OR('LAMPIRAN I DONE'!$F$21="Asisten Ahli",'LAMPIRAN I DONE'!$F$21="Lektor",'LAMPIRAN I DONE'!$F$21="Lektor Kepala",'LAMPIRAN I DONE'!$F$21="Guru Besar"),1,""))))&amp;"
"&amp;(((I130*J130)-(10-SUMPRODUCT($I$129:I129,$J$129:J129)))&amp;" x "&amp;1&amp;" x "&amp;IF('LAMPIRAN I DONE'!$F$21="Tenaga Pengajar",0.25,IF(OR('LAMPIRAN I DONE'!$F$21="Asisten Ahli",'LAMPIRAN I DONE'!$F$21="Lektor",'LAMPIRAN I DONE'!$F$21="Lektor Kepala",'LAMPIRAN I DONE'!$F$21="Guru Besar"),0.5,""))&amp;" = "&amp;(((I130*J130)-(10-SUMPRODUCT($I$129:I129,$J$129:J129)))*IF('LAMPIRAN I DONE'!$F$21="Tenaga Pengajar",0.25,IF(OR('LAMPIRAN I DONE'!$F$21="Asisten Ahli",'LAMPIRAN I DONE'!$F$21="Lektor",'LAMPIRAN I DONE'!$F$21="Lektor Kepala",'LAMPIRAN I DONE'!$F$21="Guru Besar"),0.5,""))))),(I130&amp;" x "&amp;J130&amp;" x "&amp;(IF(OR(AND(L130="sks&gt;10",L129="sks&gt;10"),AND(L130="sks&gt;10",L129="sks&lt;=10")),IF('LAMPIRAN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Besar"),1,""))))&amp;" = "&amp;K130))),"rumus")</f>
        <v>rumus</v>
      </c>
      <c r="H130" s="820" t="s">
        <v>620</v>
      </c>
      <c r="I130" s="34"/>
      <c r="J130" s="34"/>
      <c r="K130" s="27" t="str">
        <f>IF(AND(I130&lt;&gt;"",J130&lt;&gt;""),(IF(OR(AND(L130="sks&gt;10",L129="sks&lt;=10",IFERROR(SUMPRODUCT($I$129:I129,$J$129:J129)&lt;10,FALSE)),AND(L130="sks&gt;10",L129="")),(((10-SUMPRODUCT($I$129:I129,$J$129:J129))*IF('LAMPIRAN I DONE'!$F$21="Tenaga Pengajar",0.5,IF(OR('LAMPIRAN I DONE'!$F$21="Asisten Ahli",'LAMPIRAN I DONE'!$F$21="Lektor",'LAMPIRAN I DONE'!$F$21="Lektor Kepala",'LAMPIRAN I DONE'!$F$21="Guru Besar"),1,"")))+(((I130*J130)-(10-SUMPRODUCT($I$129:I129,$J$129:J129)))*IF('LAMPIRAN I DONE'!$F$21="Tenaga Pengajar",0.25,IF(OR('LAMPIRAN I DONE'!$F$21="Asisten Ahli",'LAMPIRAN I DONE'!$F$21="Lektor",'LAMPIRAN I DONE'!$F$21="Lektor Kepala",'LAMPIRAN I DONE'!$F$21="Guru Besar"),0.5,"")))),IF(OR(AND(L130="sks&gt;10",L129="sks&gt;10"),AND(L130="sks&gt;10",L129="sks&lt;=10")),I130*J130*IF('LAMPIRAN I DONE'!$F$21="Tenaga Pengajar",0.25,IF(OR('LAMPIRAN I DONE'!$F$21="Asisten Ahli",'LAMPIRAN I DONE'!$F$21="Lektor",'LAMPIRAN I DONE'!$F$21="Lektor Kepala",'LAMPIRAN I DONE'!$F$21="Guru Besar"),0.5,"")),I130*J130*IF('LAMPIRAN I DONE'!$F$21="Tenaga Pengajar",0.5,IF(OR('LAMPIRAN I DONE'!$F$21="Asisten Ahli",'LAMPIRAN I DONE'!$F$21="Lektor",'LAMPIRAN I DONE'!$F$21="Lektor Kepala",'LAMPIRAN I DONE'!$F$21="Guru Besar"),1,""))))),"rumus")</f>
        <v>rumus</v>
      </c>
      <c r="L130" s="27" t="str">
        <f>IF(AND(I130&lt;&gt;"",J130&lt;&gt;""),(IF(SUMPRODUCT($I$130:I130,$J$130:J130)&lt;=10,"SKS&lt;=10",IF(SUMPRODUCT($I$130:I130,$J$130:J130)&gt;10,"SKS&gt;10",""))),"rumus")</f>
        <v>rumus</v>
      </c>
    </row>
    <row r="131" spans="1:14" s="2" customFormat="1" ht="25.5" hidden="1" customHeight="1" x14ac:dyDescent="0.45">
      <c r="A131" s="67">
        <v>2</v>
      </c>
      <c r="B131" s="163" t="s">
        <v>81</v>
      </c>
      <c r="C131" s="28" t="s">
        <v>145</v>
      </c>
      <c r="D131" s="28" t="str">
        <f t="shared" ref="D131:D135" si="20">IF(G131&lt;&gt;"rumus","SKS","")</f>
        <v/>
      </c>
      <c r="E131" s="256" t="str">
        <f>IF(K131&lt;&gt;"rumus",(IF(OR(AND(L131="sks&gt;10",L130="sks&lt;=10",IFERROR(SUMPRODUCT($I$129:I130,$J$129:J130)&lt;10,FALSE)),AND(L131="sks&gt;10",L130="")),(((10-SUMPRODUCT($I$129:I130,$J$129:J130))&amp;" x "&amp;1)&amp;"
"&amp;(((I131*J131)-(10-SUMPRODUCT($I$129:I130,$J$129:J130)))&amp;" x "&amp;1)),(I131&amp;" x "&amp;J131))),"")</f>
        <v/>
      </c>
      <c r="F131" s="256" t="str">
        <f>IF(K131&lt;&gt;"rumus",(IF(OR(AND(L131="sks&gt;10",L130="sks&lt;=10",IFERROR(SUMPRODUCT($I$129:I130,$J$129:J130)&lt;10,FALSE)),AND(L131="sks&gt;10",L130="")),((IF('LAMPIRAN I DONE'!$F$21="Tenaga Pengajar",0.5,IF(OR('LAMPIRAN I DONE'!$F$21="Asisten Ahli",'LAMPIRAN I DONE'!$F$21="Lektor",'LAMPIRAN I DONE'!$F$21="Lektor Kepala",'LAMPIRAN I DONE'!$F$21="Guru Besar"),1,"")))&amp;"
"&amp;(IF('LAMPIRAN I DONE'!$F$21="Tenaga Pengajar",0.25,IF(OR('LAMPIRAN I DONE'!$F$21="Asisten Ahli",'LAMPIRAN I DONE'!$F$21="Lektor",'LAMPIRAN I DONE'!$F$21="Lektor Kepala",'LAMPIRAN I DONE'!$F$21="Guru Besar"),0.5,"")))),((IF(OR(AND(L131="sks&gt;10",L130="sks&gt;10"),AND(L131="sks&gt;10",L130="sks&lt;=10")),IF('LAMPIRAN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f>
        <v/>
      </c>
      <c r="G131" s="105" t="str">
        <f>IF(K131&lt;&gt;"rumus",(IF(OR(AND(L131="sks&gt;10",L130="sks&lt;=10",IFERROR(SUMPRODUCT($I$129:I130,$J$129:J130)&lt;10,FALSE)),AND(L131="sks&gt;10",L130="")),(((10-SUMPRODUCT($I$129:I130,$J$129:J130))&amp;" x "&amp;1&amp;" x "&amp;IF('LAMPIRAN I DONE'!$F$21="Tenaga Pengajar",0.5,IF(OR('LAMPIRAN I DONE'!$F$21="Asisten Ahli",'LAMPIRAN I DONE'!$F$21="Lektor",'LAMPIRAN I DONE'!$F$21="Lektor Kepala",'LAMPIRAN I DONE'!$F$21="Guru Besar"),1,""))&amp;" = "&amp;((10-SUMPRODUCT($I$129:I130,$J$129:J130))*IF('LAMPIRAN I DONE'!$F$21="Tenaga Pengajar",0.5,IF(OR('LAMPIRAN I DONE'!$F$21="Asisten Ahli",'LAMPIRAN I DONE'!$F$21="Lektor",'LAMPIRAN I DONE'!$F$21="Lektor Kepala",'LAMPIRAN I DONE'!$F$21="Guru Besar"),1,""))))&amp;"
"&amp;(((I131*J131)-(10-SUMPRODUCT($I$129:I130,$J$129:J130)))&amp;" x "&amp;1&amp;" x "&amp;IF('LAMPIRAN I DONE'!$F$21="Tenaga Pengajar",0.25,IF(OR('LAMPIRAN I DONE'!$F$21="Asisten Ahli",'LAMPIRAN I DONE'!$F$21="Lektor",'LAMPIRAN I DONE'!$F$21="Lektor Kepala",'LAMPIRAN I DONE'!$F$21="Guru Besar"),0.5,""))&amp;" = "&amp;(((I131*J131)-(10-SUMPRODUCT($I$129:I130,$J$129:J130)))*IF('LAMPIRAN I DONE'!$F$21="Tenaga Pengajar",0.25,IF(OR('LAMPIRAN I DONE'!$F$21="Asisten Ahli",'LAMPIRAN I DONE'!$F$21="Lektor",'LAMPIRAN I DONE'!$F$21="Lektor Kepala",'LAMPIRAN I DONE'!$F$21="Guru Besar"),0.5,""))))),(I131&amp;" x "&amp;J131&amp;" x "&amp;(IF(OR(AND(L131="sks&gt;10",L130="sks&gt;10"),AND(L131="sks&gt;10",L130="sks&lt;=10")),IF('LAMPIRAN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Besar"),1,""))))&amp;" = "&amp;K131))),"rumus")</f>
        <v>rumus</v>
      </c>
      <c r="H131" s="820" t="s">
        <v>620</v>
      </c>
      <c r="I131" s="34"/>
      <c r="J131" s="34"/>
      <c r="K131" s="27" t="str">
        <f>IF(AND(I131&lt;&gt;"",J131&lt;&gt;""),(IF(OR(AND(L131="sks&gt;10",L130="sks&lt;=10",IFERROR(SUMPRODUCT($I$129:I130,$J$129:J130)&lt;10,FALSE)),AND(L131="sks&gt;10",L130="")),(((10-SUMPRODUCT($I$129:I130,$J$129:J130))*IF('LAMPIRAN I DONE'!$F$21="Tenaga Pengajar",0.5,IF(OR('LAMPIRAN I DONE'!$F$21="Asisten Ahli",'LAMPIRAN I DONE'!$F$21="Lektor",'LAMPIRAN I DONE'!$F$21="Lektor Kepala",'LAMPIRAN I DONE'!$F$21="Guru Besar"),1,"")))+(((I131*J131)-(10-SUMPRODUCT($I$129:I130,$J$129:J130)))*IF('LAMPIRAN I DONE'!$F$21="Tenaga Pengajar",0.25,IF(OR('LAMPIRAN I DONE'!$F$21="Asisten Ahli",'LAMPIRAN I DONE'!$F$21="Lektor",'LAMPIRAN I DONE'!$F$21="Lektor Kepala",'LAMPIRAN I DONE'!$F$21="Guru Besar"),0.5,"")))),IF(OR(AND(L131="sks&gt;10",L130="sks&gt;10"),AND(L131="sks&gt;10",L130="sks&lt;=10")),I131*J131*IF('LAMPIRAN I DONE'!$F$21="Tenaga Pengajar",0.25,IF(OR('LAMPIRAN I DONE'!$F$21="Asisten Ahli",'LAMPIRAN I DONE'!$F$21="Lektor",'LAMPIRAN I DONE'!$F$21="Lektor Kepala",'LAMPIRAN I DONE'!$F$21="Guru Besar"),0.5,"")),I131*J131*IF('LAMPIRAN I DONE'!$F$21="Tenaga Pengajar",0.5,IF(OR('LAMPIRAN I DONE'!$F$21="Asisten Ahli",'LAMPIRAN I DONE'!$F$21="Lektor",'LAMPIRAN I DONE'!$F$21="Lektor Kepala",'LAMPIRAN I DONE'!$F$21="Guru Besar"),1,""))))),"rumus")</f>
        <v>rumus</v>
      </c>
      <c r="L131" s="27" t="str">
        <f>IF(AND(I131&lt;&gt;"",J131&lt;&gt;""),(IF(SUMPRODUCT($I$130:I131,$J$130:J131)&lt;=10,"SKS&lt;=10",IF(SUMPRODUCT($I$130:I131,$J$130:J131)&gt;10,"SKS&gt;10",""))),"rumus")</f>
        <v>rumus</v>
      </c>
    </row>
    <row r="132" spans="1:14" s="2" customFormat="1" ht="25.5" hidden="1" customHeight="1" x14ac:dyDescent="0.45">
      <c r="A132" s="67">
        <v>3</v>
      </c>
      <c r="B132" s="163" t="s">
        <v>81</v>
      </c>
      <c r="C132" s="28" t="s">
        <v>145</v>
      </c>
      <c r="D132" s="28" t="str">
        <f t="shared" si="20"/>
        <v/>
      </c>
      <c r="E132" s="256" t="str">
        <f>IF(K132&lt;&gt;"rumus",(IF(OR(AND(L132="sks&gt;10",L131="sks&lt;=10",IFERROR(SUMPRODUCT($I$129:I131,$J$129:J131)&lt;10,FALSE)),AND(L132="sks&gt;10",L131="")),(((10-SUMPRODUCT($I$129:I131,$J$129:J131))&amp;" x "&amp;1)&amp;"
"&amp;(((I132*J132)-(10-SUMPRODUCT($I$129:I131,$J$129:J131)))&amp;" x "&amp;1)),(I132&amp;" x "&amp;J132))),"")</f>
        <v/>
      </c>
      <c r="F132" s="256" t="str">
        <f>IF(K132&lt;&gt;"rumus",(IF(OR(AND(L132="sks&gt;10",L131="sks&lt;=10",IFERROR(SUMPRODUCT($I$129:I131,$J$129:J131)&lt;10,FALSE)),AND(L132="sks&gt;10",L131="")),((IF('LAMPIRAN I DONE'!$F$21="Tenaga Pengajar",0.5,IF(OR('LAMPIRAN I DONE'!$F$21="Asisten Ahli",'LAMPIRAN I DONE'!$F$21="Lektor",'LAMPIRAN I DONE'!$F$21="Lektor Kepala",'LAMPIRAN I DONE'!$F$21="Guru Besar"),1,"")))&amp;"
"&amp;(IF('LAMPIRAN I DONE'!$F$21="Tenaga Pengajar",0.25,IF(OR('LAMPIRAN I DONE'!$F$21="Asisten Ahli",'LAMPIRAN I DONE'!$F$21="Lektor",'LAMPIRAN I DONE'!$F$21="Lektor Kepala",'LAMPIRAN I DONE'!$F$21="Guru Besar"),0.5,"")))),((IF(OR(AND(L132="sks&gt;10",L131="sks&gt;10"),AND(L132="sks&gt;10",L131="sks&lt;=10")),IF('LAMPIRAN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f>
        <v/>
      </c>
      <c r="G132" s="105" t="str">
        <f>IF(K132&lt;&gt;"rumus",(IF(OR(AND(L132="sks&gt;10",L131="sks&lt;=10",IFERROR(SUMPRODUCT($I$129:I131,$J$129:J131)&lt;10,FALSE)),AND(L132="sks&gt;10",L131="")),(((10-SUMPRODUCT($I$129:I131,$J$129:J131))&amp;" x "&amp;1&amp;" x "&amp;IF('LAMPIRAN I DONE'!$F$21="Tenaga Pengajar",0.5,IF(OR('LAMPIRAN I DONE'!$F$21="Asisten Ahli",'LAMPIRAN I DONE'!$F$21="Lektor",'LAMPIRAN I DONE'!$F$21="Lektor Kepala",'LAMPIRAN I DONE'!$F$21="Guru Besar"),1,""))&amp;" = "&amp;((10-SUMPRODUCT($I$129:I131,$J$129:J131))*IF('LAMPIRAN I DONE'!$F$21="Tenaga Pengajar",0.5,IF(OR('LAMPIRAN I DONE'!$F$21="Asisten Ahli",'LAMPIRAN I DONE'!$F$21="Lektor",'LAMPIRAN I DONE'!$F$21="Lektor Kepala",'LAMPIRAN I DONE'!$F$21="Guru Besar"),1,""))))&amp;"
"&amp;(((I132*J132)-(10-SUMPRODUCT($I$129:I131,$J$129:J131)))&amp;" x "&amp;1&amp;" x "&amp;IF('LAMPIRAN I DONE'!$F$21="Tenaga Pengajar",0.25,IF(OR('LAMPIRAN I DONE'!$F$21="Asisten Ahli",'LAMPIRAN I DONE'!$F$21="Lektor",'LAMPIRAN I DONE'!$F$21="Lektor Kepala",'LAMPIRAN I DONE'!$F$21="Guru Besar"),0.5,""))&amp;" = "&amp;(((I132*J132)-(10-SUMPRODUCT($I$129:I131,$J$129:J131)))*IF('LAMPIRAN I DONE'!$F$21="Tenaga Pengajar",0.25,IF(OR('LAMPIRAN I DONE'!$F$21="Asisten Ahli",'LAMPIRAN I DONE'!$F$21="Lektor",'LAMPIRAN I DONE'!$F$21="Lektor Kepala",'LAMPIRAN I DONE'!$F$21="Guru Besar"),0.5,""))))),(I132&amp;" x "&amp;J132&amp;" x "&amp;(IF(OR(AND(L132="sks&gt;10",L131="sks&gt;10"),AND(L132="sks&gt;10",L131="sks&lt;=10")),IF('LAMPIRAN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Besar"),1,""))))&amp;" = "&amp;K132))),"rumus")</f>
        <v>rumus</v>
      </c>
      <c r="H132" s="820" t="s">
        <v>620</v>
      </c>
      <c r="I132" s="34"/>
      <c r="J132" s="34"/>
      <c r="K132" s="27" t="str">
        <f>IF(AND(I132&lt;&gt;"",J132&lt;&gt;""),(IF(OR(AND(L132="sks&gt;10",L131="sks&lt;=10",IFERROR(SUMPRODUCT($I$129:I131,$J$129:J131)&lt;10,FALSE)),AND(L132="sks&gt;10",L131="")),(((10-SUMPRODUCT($I$129:I131,$J$129:J131))*IF('LAMPIRAN I DONE'!$F$21="Tenaga Pengajar",0.5,IF(OR('LAMPIRAN I DONE'!$F$21="Asisten Ahli",'LAMPIRAN I DONE'!$F$21="Lektor",'LAMPIRAN I DONE'!$F$21="Lektor Kepala",'LAMPIRAN I DONE'!$F$21="Guru Besar"),1,"")))+(((I132*J132)-(10-SUMPRODUCT($I$129:I131,$J$129:J131)))*IF('LAMPIRAN I DONE'!$F$21="Tenaga Pengajar",0.25,IF(OR('LAMPIRAN I DONE'!$F$21="Asisten Ahli",'LAMPIRAN I DONE'!$F$21="Lektor",'LAMPIRAN I DONE'!$F$21="Lektor Kepala",'LAMPIRAN I DONE'!$F$21="Guru Besar"),0.5,"")))),IF(OR(AND(L132="sks&gt;10",L131="sks&gt;10"),AND(L132="sks&gt;10",L131="sks&lt;=10")),I132*J132*IF('LAMPIRAN I DONE'!$F$21="Tenaga Pengajar",0.25,IF(OR('LAMPIRAN I DONE'!$F$21="Asisten Ahli",'LAMPIRAN I DONE'!$F$21="Lektor",'LAMPIRAN I DONE'!$F$21="Lektor Kepala",'LAMPIRAN I DONE'!$F$21="Guru Besar"),0.5,"")),I132*J132*IF('LAMPIRAN I DONE'!$F$21="Tenaga Pengajar",0.5,IF(OR('LAMPIRAN I DONE'!$F$21="Asisten Ahli",'LAMPIRAN I DONE'!$F$21="Lektor",'LAMPIRAN I DONE'!$F$21="Lektor Kepala",'LAMPIRAN I DONE'!$F$21="Guru Besar"),1,""))))),"rumus")</f>
        <v>rumus</v>
      </c>
      <c r="L132" s="27" t="str">
        <f>IF(AND(I132&lt;&gt;"",J132&lt;&gt;""),(IF(SUMPRODUCT($I$130:I132,$J$130:J132)&lt;=10,"SKS&lt;=10",IF(SUMPRODUCT($I$130:I132,$J$130:J132)&gt;10,"SKS&gt;10",""))),"rumus")</f>
        <v>rumus</v>
      </c>
    </row>
    <row r="133" spans="1:14" s="2" customFormat="1" ht="25.5" hidden="1" customHeight="1" x14ac:dyDescent="0.45">
      <c r="A133" s="67">
        <v>4</v>
      </c>
      <c r="B133" s="163" t="s">
        <v>81</v>
      </c>
      <c r="C133" s="28" t="s">
        <v>145</v>
      </c>
      <c r="D133" s="28" t="str">
        <f t="shared" si="20"/>
        <v/>
      </c>
      <c r="E133" s="256" t="str">
        <f>IF(K133&lt;&gt;"rumus",(IF(OR(AND(L133="sks&gt;10",L132="sks&lt;=10",IFERROR(SUMPRODUCT($I$129:I132,$J$129:J132)&lt;10,FALSE)),AND(L133="sks&gt;10",L132="")),(((10-SUMPRODUCT($I$129:I132,$J$129:J132))&amp;" x "&amp;1)&amp;"
"&amp;(((I133*J133)-(10-SUMPRODUCT($I$129:I132,$J$129:J132)))&amp;" x "&amp;1)),(I133&amp;" x "&amp;J133))),"")</f>
        <v/>
      </c>
      <c r="F133" s="256" t="str">
        <f>IF(K133&lt;&gt;"rumus",(IF(OR(AND(L133="sks&gt;10",L132="sks&lt;=10",IFERROR(SUMPRODUCT($I$129:I132,$J$129:J132)&lt;10,FALSE)),AND(L133="sks&gt;10",L132="")),((IF('LAMPIRAN I DONE'!$F$21="Tenaga Pengajar",0.5,IF(OR('LAMPIRAN I DONE'!$F$21="Asisten Ahli",'LAMPIRAN I DONE'!$F$21="Lektor",'LAMPIRAN I DONE'!$F$21="Lektor Kepala",'LAMPIRAN I DONE'!$F$21="Guru Besar"),1,"")))&amp;"
"&amp;(IF('LAMPIRAN I DONE'!$F$21="Tenaga Pengajar",0.25,IF(OR('LAMPIRAN I DONE'!$F$21="Asisten Ahli",'LAMPIRAN I DONE'!$F$21="Lektor",'LAMPIRAN I DONE'!$F$21="Lektor Kepala",'LAMPIRAN I DONE'!$F$21="Guru Besar"),0.5,"")))),((IF(OR(AND(L133="sks&gt;10",L132="sks&gt;10"),AND(L133="sks&gt;10",L132="sks&lt;=10")),IF('LAMPIRAN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f>
        <v/>
      </c>
      <c r="G133" s="105" t="str">
        <f>IF(K133&lt;&gt;"rumus",(IF(OR(AND(L133="sks&gt;10",L132="sks&lt;=10",IFERROR(SUMPRODUCT($I$129:I132,$J$129:J132)&lt;10,FALSE)),AND(L133="sks&gt;10",L132="")),(((10-SUMPRODUCT($I$129:I132,$J$129:J132))&amp;" x "&amp;1&amp;" x "&amp;IF('LAMPIRAN I DONE'!$F$21="Tenaga Pengajar",0.5,IF(OR('LAMPIRAN I DONE'!$F$21="Asisten Ahli",'LAMPIRAN I DONE'!$F$21="Lektor",'LAMPIRAN I DONE'!$F$21="Lektor Kepala",'LAMPIRAN I DONE'!$F$21="Guru Besar"),1,""))&amp;" = "&amp;((10-SUMPRODUCT($I$129:I132,$J$129:J132))*IF('LAMPIRAN I DONE'!$F$21="Tenaga Pengajar",0.5,IF(OR('LAMPIRAN I DONE'!$F$21="Asisten Ahli",'LAMPIRAN I DONE'!$F$21="Lektor",'LAMPIRAN I DONE'!$F$21="Lektor Kepala",'LAMPIRAN I DONE'!$F$21="Guru Besar"),1,""))))&amp;"
"&amp;(((I133*J133)-(10-SUMPRODUCT($I$129:I132,$J$129:J132)))&amp;" x "&amp;1&amp;" x "&amp;IF('LAMPIRAN I DONE'!$F$21="Tenaga Pengajar",0.25,IF(OR('LAMPIRAN I DONE'!$F$21="Asisten Ahli",'LAMPIRAN I DONE'!$F$21="Lektor",'LAMPIRAN I DONE'!$F$21="Lektor Kepala",'LAMPIRAN I DONE'!$F$21="Guru Besar"),0.5,""))&amp;" = "&amp;(((I133*J133)-(10-SUMPRODUCT($I$129:I132,$J$129:J132)))*IF('LAMPIRAN I DONE'!$F$21="Tenaga Pengajar",0.25,IF(OR('LAMPIRAN I DONE'!$F$21="Asisten Ahli",'LAMPIRAN I DONE'!$F$21="Lektor",'LAMPIRAN I DONE'!$F$21="Lektor Kepala",'LAMPIRAN I DONE'!$F$21="Guru Besar"),0.5,""))))),(I133&amp;" x "&amp;J133&amp;" x "&amp;(IF(OR(AND(L133="sks&gt;10",L132="sks&gt;10"),AND(L133="sks&gt;10",L132="sks&lt;=10")),IF('LAMPIRAN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Besar"),1,""))))&amp;" = "&amp;K133))),"rumus")</f>
        <v>rumus</v>
      </c>
      <c r="H133" s="820" t="s">
        <v>620</v>
      </c>
      <c r="I133" s="34"/>
      <c r="J133" s="34"/>
      <c r="K133" s="27" t="str">
        <f>IF(AND(I133&lt;&gt;"",J133&lt;&gt;""),(IF(OR(AND(L133="sks&gt;10",L132="sks&lt;=10",IFERROR(SUMPRODUCT($I$129:I132,$J$129:J132)&lt;10,FALSE)),AND(L133="sks&gt;10",L132="")),(((10-SUMPRODUCT($I$129:I132,$J$129:J132))*IF('LAMPIRAN I DONE'!$F$21="Tenaga Pengajar",0.5,IF(OR('LAMPIRAN I DONE'!$F$21="Asisten Ahli",'LAMPIRAN I DONE'!$F$21="Lektor",'LAMPIRAN I DONE'!$F$21="Lektor Kepala",'LAMPIRAN I DONE'!$F$21="Guru Besar"),1,"")))+(((I133*J133)-(10-SUMPRODUCT($I$129:I132,$J$129:J132)))*IF('LAMPIRAN I DONE'!$F$21="Tenaga Pengajar",0.25,IF(OR('LAMPIRAN I DONE'!$F$21="Asisten Ahli",'LAMPIRAN I DONE'!$F$21="Lektor",'LAMPIRAN I DONE'!$F$21="Lektor Kepala",'LAMPIRAN I DONE'!$F$21="Guru Besar"),0.5,"")))),IF(OR(AND(L133="sks&gt;10",L132="sks&gt;10"),AND(L133="sks&gt;10",L132="sks&lt;=10")),I133*J133*IF('LAMPIRAN I DONE'!$F$21="Tenaga Pengajar",0.25,IF(OR('LAMPIRAN I DONE'!$F$21="Asisten Ahli",'LAMPIRAN I DONE'!$F$21="Lektor",'LAMPIRAN I DONE'!$F$21="Lektor Kepala",'LAMPIRAN I DONE'!$F$21="Guru Besar"),0.5,"")),I133*J133*IF('LAMPIRAN I DONE'!$F$21="Tenaga Pengajar",0.5,IF(OR('LAMPIRAN I DONE'!$F$21="Asisten Ahli",'LAMPIRAN I DONE'!$F$21="Lektor",'LAMPIRAN I DONE'!$F$21="Lektor Kepala",'LAMPIRAN I DONE'!$F$21="Guru Besar"),1,""))))),"rumus")</f>
        <v>rumus</v>
      </c>
      <c r="L133" s="27" t="str">
        <f>IF(AND(I133&lt;&gt;"",J133&lt;&gt;""),(IF(SUMPRODUCT($I$130:I133,$J$130:J133)&lt;=10,"SKS&lt;=10",IF(SUMPRODUCT($I$130:I133,$J$130:J133)&gt;10,"SKS&gt;10",""))),"rumus")</f>
        <v>rumus</v>
      </c>
    </row>
    <row r="134" spans="1:14" s="2" customFormat="1" ht="25.5" hidden="1" customHeight="1" x14ac:dyDescent="0.45">
      <c r="A134" s="67">
        <v>5</v>
      </c>
      <c r="B134" s="163" t="s">
        <v>81</v>
      </c>
      <c r="C134" s="28" t="s">
        <v>145</v>
      </c>
      <c r="D134" s="28" t="str">
        <f t="shared" si="20"/>
        <v/>
      </c>
      <c r="E134" s="256" t="str">
        <f>IF(K134&lt;&gt;"rumus",(IF(OR(AND(L134="sks&gt;10",L133="sks&lt;=10",IFERROR(SUMPRODUCT($I$129:I133,$J$129:J133)&lt;10,FALSE)),AND(L134="sks&gt;10",L133="")),(((10-SUMPRODUCT($I$129:I133,$J$129:J133))&amp;" x "&amp;1)&amp;"
"&amp;(((I134*J134)-(10-SUMPRODUCT($I$129:I133,$J$129:J133)))&amp;" x "&amp;1)),(I134&amp;" x "&amp;J134))),"")</f>
        <v/>
      </c>
      <c r="F134" s="256" t="str">
        <f>IF(K134&lt;&gt;"rumus",(IF(OR(AND(L134="sks&gt;10",L133="sks&lt;=10",IFERROR(SUMPRODUCT($I$129:I133,$J$129:J133)&lt;10,FALSE)),AND(L134="sks&gt;10",L133="")),((IF('LAMPIRAN I DONE'!$F$21="Tenaga Pengajar",0.5,IF(OR('LAMPIRAN I DONE'!$F$21="Asisten Ahli",'LAMPIRAN I DONE'!$F$21="Lektor",'LAMPIRAN I DONE'!$F$21="Lektor Kepala",'LAMPIRAN I DONE'!$F$21="Guru Besar"),1,"")))&amp;"
"&amp;(IF('LAMPIRAN I DONE'!$F$21="Tenaga Pengajar",0.25,IF(OR('LAMPIRAN I DONE'!$F$21="Asisten Ahli",'LAMPIRAN I DONE'!$F$21="Lektor",'LAMPIRAN I DONE'!$F$21="Lektor Kepala",'LAMPIRAN I DONE'!$F$21="Guru Besar"),0.5,"")))),((IF(OR(AND(L134="sks&gt;10",L133="sks&gt;10"),AND(L134="sks&gt;10",L133="sks&lt;=10")),IF('LAMPIRAN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f>
        <v/>
      </c>
      <c r="G134" s="105" t="str">
        <f>IF(K134&lt;&gt;"rumus",(IF(OR(AND(L134="sks&gt;10",L133="sks&lt;=10",IFERROR(SUMPRODUCT($I$129:I133,$J$129:J133)&lt;10,FALSE)),AND(L134="sks&gt;10",L133="")),(((10-SUMPRODUCT($I$129:I133,$J$129:J133))&amp;" x "&amp;1&amp;" x "&amp;IF('LAMPIRAN I DONE'!$F$21="Tenaga Pengajar",0.5,IF(OR('LAMPIRAN I DONE'!$F$21="Asisten Ahli",'LAMPIRAN I DONE'!$F$21="Lektor",'LAMPIRAN I DONE'!$F$21="Lektor Kepala",'LAMPIRAN I DONE'!$F$21="Guru Besar"),1,""))&amp;" = "&amp;((10-SUMPRODUCT($I$129:I133,$J$129:J133))*IF('LAMPIRAN I DONE'!$F$21="Tenaga Pengajar",0.5,IF(OR('LAMPIRAN I DONE'!$F$21="Asisten Ahli",'LAMPIRAN I DONE'!$F$21="Lektor",'LAMPIRAN I DONE'!$F$21="Lektor Kepala",'LAMPIRAN I DONE'!$F$21="Guru Besar"),1,""))))&amp;"
"&amp;(((I134*J134)-(10-SUMPRODUCT($I$129:I133,$J$129:J133)))&amp;" x "&amp;1&amp;" x "&amp;IF('LAMPIRAN I DONE'!$F$21="Tenaga Pengajar",0.25,IF(OR('LAMPIRAN I DONE'!$F$21="Asisten Ahli",'LAMPIRAN I DONE'!$F$21="Lektor",'LAMPIRAN I DONE'!$F$21="Lektor Kepala",'LAMPIRAN I DONE'!$F$21="Guru Besar"),0.5,""))&amp;" = "&amp;(((I134*J134)-(10-SUMPRODUCT($I$129:I133,$J$129:J133)))*IF('LAMPIRAN I DONE'!$F$21="Tenaga Pengajar",0.25,IF(OR('LAMPIRAN I DONE'!$F$21="Asisten Ahli",'LAMPIRAN I DONE'!$F$21="Lektor",'LAMPIRAN I DONE'!$F$21="Lektor Kepala",'LAMPIRAN I DONE'!$F$21="Guru Besar"),0.5,""))))),(I134&amp;" x "&amp;J134&amp;" x "&amp;(IF(OR(AND(L134="sks&gt;10",L133="sks&gt;10"),AND(L134="sks&gt;10",L133="sks&lt;=10")),IF('LAMPIRAN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Besar"),1,""))))&amp;" = "&amp;K134))),"rumus")</f>
        <v>rumus</v>
      </c>
      <c r="H134" s="820" t="s">
        <v>620</v>
      </c>
      <c r="I134" s="34"/>
      <c r="J134" s="34"/>
      <c r="K134" s="27" t="str">
        <f>IF(AND(I134&lt;&gt;"",J134&lt;&gt;""),(IF(OR(AND(L134="sks&gt;10",L133="sks&lt;=10",IFERROR(SUMPRODUCT($I$129:I133,$J$129:J133)&lt;10,FALSE)),AND(L134="sks&gt;10",L133="")),(((10-SUMPRODUCT($I$129:I133,$J$129:J133))*IF('LAMPIRAN I DONE'!$F$21="Tenaga Pengajar",0.5,IF(OR('LAMPIRAN I DONE'!$F$21="Asisten Ahli",'LAMPIRAN I DONE'!$F$21="Lektor",'LAMPIRAN I DONE'!$F$21="Lektor Kepala",'LAMPIRAN I DONE'!$F$21="Guru Besar"),1,"")))+(((I134*J134)-(10-SUMPRODUCT($I$129:I133,$J$129:J133)))*IF('LAMPIRAN I DONE'!$F$21="Tenaga Pengajar",0.25,IF(OR('LAMPIRAN I DONE'!$F$21="Asisten Ahli",'LAMPIRAN I DONE'!$F$21="Lektor",'LAMPIRAN I DONE'!$F$21="Lektor Kepala",'LAMPIRAN I DONE'!$F$21="Guru Besar"),0.5,"")))),IF(OR(AND(L134="sks&gt;10",L133="sks&gt;10"),AND(L134="sks&gt;10",L133="sks&lt;=10")),I134*J134*IF('LAMPIRAN I DONE'!$F$21="Tenaga Pengajar",0.25,IF(OR('LAMPIRAN I DONE'!$F$21="Asisten Ahli",'LAMPIRAN I DONE'!$F$21="Lektor",'LAMPIRAN I DONE'!$F$21="Lektor Kepala",'LAMPIRAN I DONE'!$F$21="Guru Besar"),0.5,"")),I134*J134*IF('LAMPIRAN I DONE'!$F$21="Tenaga Pengajar",0.5,IF(OR('LAMPIRAN I DONE'!$F$21="Asisten Ahli",'LAMPIRAN I DONE'!$F$21="Lektor",'LAMPIRAN I DONE'!$F$21="Lektor Kepala",'LAMPIRAN I DONE'!$F$21="Guru Besar"),1,""))))),"rumus")</f>
        <v>rumus</v>
      </c>
      <c r="L134" s="27" t="str">
        <f>IF(AND(I134&lt;&gt;"",J134&lt;&gt;""),(IF(SUMPRODUCT($I$130:I134,$J$130:J134)&lt;=10,"SKS&lt;=10",IF(SUMPRODUCT($I$130:I134,$J$130:J134)&gt;10,"SKS&gt;10",""))),"rumus")</f>
        <v>rumus</v>
      </c>
    </row>
    <row r="135" spans="1:14" s="2" customFormat="1" ht="25.5" hidden="1" customHeight="1" x14ac:dyDescent="0.45">
      <c r="A135" s="67">
        <v>6</v>
      </c>
      <c r="B135" s="163" t="s">
        <v>81</v>
      </c>
      <c r="C135" s="28" t="s">
        <v>145</v>
      </c>
      <c r="D135" s="28" t="str">
        <f t="shared" si="20"/>
        <v/>
      </c>
      <c r="E135" s="256" t="str">
        <f>IF(K135&lt;&gt;"rumus",(IF(OR(AND(L135="sks&gt;10",L134="sks&lt;=10",IFERROR(SUMPRODUCT($I$129:I134,$J$129:J134)&lt;10,FALSE)),AND(L135="sks&gt;10",L134="")),(((10-SUMPRODUCT($I$129:I134,$J$129:J134))&amp;" x "&amp;1)&amp;"
"&amp;(((I135*J135)-(10-SUMPRODUCT($I$129:I134,$J$129:J134)))&amp;" x "&amp;1)),(I135&amp;" x "&amp;J135))),"")</f>
        <v/>
      </c>
      <c r="F135" s="256" t="str">
        <f>IF(K135&lt;&gt;"rumus",(IF(OR(AND(L135="sks&gt;10",L134="sks&lt;=10",IFERROR(SUMPRODUCT($I$129:I134,$J$129:J134)&lt;10,FALSE)),AND(L135="sks&gt;10",L134="")),((IF('LAMPIRAN I DONE'!$F$21="Tenaga Pengajar",0.5,IF(OR('LAMPIRAN I DONE'!$F$21="Asisten Ahli",'LAMPIRAN I DONE'!$F$21="Lektor",'LAMPIRAN I DONE'!$F$21="Lektor Kepala",'LAMPIRAN I DONE'!$F$21="Guru Besar"),1,"")))&amp;"
"&amp;(IF('LAMPIRAN I DONE'!$F$21="Tenaga Pengajar",0.25,IF(OR('LAMPIRAN I DONE'!$F$21="Asisten Ahli",'LAMPIRAN I DONE'!$F$21="Lektor",'LAMPIRAN I DONE'!$F$21="Lektor Kepala",'LAMPIRAN I DONE'!$F$21="Guru Besar"),0.5,"")))),((IF(OR(AND(L135="sks&gt;10",L134="sks&gt;10"),AND(L135="sks&gt;10",L134="sks&lt;=10")),IF('LAMPIRAN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f>
        <v/>
      </c>
      <c r="G135" s="105" t="str">
        <f>IF(K135&lt;&gt;"rumus",(IF(OR(AND(L135="sks&gt;10",L134="sks&lt;=10",IFERROR(SUMPRODUCT($I$129:I134,$J$129:J134)&lt;10,FALSE)),AND(L135="sks&gt;10",L134="")),(((10-SUMPRODUCT($I$129:I134,$J$129:J134))&amp;" x "&amp;1&amp;" x "&amp;IF('LAMPIRAN I DONE'!$F$21="Tenaga Pengajar",0.5,IF(OR('LAMPIRAN I DONE'!$F$21="Asisten Ahli",'LAMPIRAN I DONE'!$F$21="Lektor",'LAMPIRAN I DONE'!$F$21="Lektor Kepala",'LAMPIRAN I DONE'!$F$21="Guru Besar"),1,""))&amp;" = "&amp;((10-SUMPRODUCT($I$129:I134,$J$129:J134))*IF('LAMPIRAN I DONE'!$F$21="Tenaga Pengajar",0.5,IF(OR('LAMPIRAN I DONE'!$F$21="Asisten Ahli",'LAMPIRAN I DONE'!$F$21="Lektor",'LAMPIRAN I DONE'!$F$21="Lektor Kepala",'LAMPIRAN I DONE'!$F$21="Guru Besar"),1,""))))&amp;"
"&amp;(((I135*J135)-(10-SUMPRODUCT($I$129:I134,$J$129:J134)))&amp;" x "&amp;1&amp;" x "&amp;IF('LAMPIRAN I DONE'!$F$21="Tenaga Pengajar",0.25,IF(OR('LAMPIRAN I DONE'!$F$21="Asisten Ahli",'LAMPIRAN I DONE'!$F$21="Lektor",'LAMPIRAN I DONE'!$F$21="Lektor Kepala",'LAMPIRAN I DONE'!$F$21="Guru Besar"),0.5,""))&amp;" = "&amp;(((I135*J135)-(10-SUMPRODUCT($I$129:I134,$J$129:J134)))*IF('LAMPIRAN I DONE'!$F$21="Tenaga Pengajar",0.25,IF(OR('LAMPIRAN I DONE'!$F$21="Asisten Ahli",'LAMPIRAN I DONE'!$F$21="Lektor",'LAMPIRAN I DONE'!$F$21="Lektor Kepala",'LAMPIRAN I DONE'!$F$21="Guru Besar"),0.5,""))))),(I135&amp;" x "&amp;J135&amp;" x "&amp;(IF(OR(AND(L135="sks&gt;10",L134="sks&gt;10"),AND(L135="sks&gt;10",L134="sks&lt;=10")),IF('LAMPIRAN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Besar"),1,""))))&amp;" = "&amp;K135))),"rumus")</f>
        <v>rumus</v>
      </c>
      <c r="H135" s="820" t="s">
        <v>620</v>
      </c>
      <c r="I135" s="34"/>
      <c r="J135" s="34"/>
      <c r="K135" s="27" t="str">
        <f>IF(AND(I135&lt;&gt;"",J135&lt;&gt;""),(IF(OR(AND(L135="sks&gt;10",L134="sks&lt;=10",IFERROR(SUMPRODUCT($I$129:I134,$J$129:J134)&lt;10,FALSE)),AND(L135="sks&gt;10",L134="")),(((10-SUMPRODUCT($I$129:I134,$J$129:J134))*IF('LAMPIRAN I DONE'!$F$21="Tenaga Pengajar",0.5,IF(OR('LAMPIRAN I DONE'!$F$21="Asisten Ahli",'LAMPIRAN I DONE'!$F$21="Lektor",'LAMPIRAN I DONE'!$F$21="Lektor Kepala",'LAMPIRAN I DONE'!$F$21="Guru Besar"),1,"")))+(((I135*J135)-(10-SUMPRODUCT($I$129:I134,$J$129:J134)))*IF('LAMPIRAN I DONE'!$F$21="Tenaga Pengajar",0.25,IF(OR('LAMPIRAN I DONE'!$F$21="Asisten Ahli",'LAMPIRAN I DONE'!$F$21="Lektor",'LAMPIRAN I DONE'!$F$21="Lektor Kepala",'LAMPIRAN I DONE'!$F$21="Guru Besar"),0.5,"")))),IF(OR(AND(L135="sks&gt;10",L134="sks&gt;10"),AND(L135="sks&gt;10",L134="sks&lt;=10")),I135*J135*IF('LAMPIRAN I DONE'!$F$21="Tenaga Pengajar",0.25,IF(OR('LAMPIRAN I DONE'!$F$21="Asisten Ahli",'LAMPIRAN I DONE'!$F$21="Lektor",'LAMPIRAN I DONE'!$F$21="Lektor Kepala",'LAMPIRAN I DONE'!$F$21="Guru Besar"),0.5,"")),I135*J135*IF('LAMPIRAN I DONE'!$F$21="Tenaga Pengajar",0.5,IF(OR('LAMPIRAN I DONE'!$F$21="Asisten Ahli",'LAMPIRAN I DONE'!$F$21="Lektor",'LAMPIRAN I DONE'!$F$21="Lektor Kepala",'LAMPIRAN I DONE'!$F$21="Guru Besar"),1,""))))),"rumus")</f>
        <v>rumus</v>
      </c>
      <c r="L135" s="27" t="str">
        <f>IF(AND(I135&lt;&gt;"",J135&lt;&gt;""),(IF(SUMPRODUCT($I$130:I135,$J$130:J135)&lt;=10,"SKS&lt;=10",IF(SUMPRODUCT($I$130:I135,$J$130:J135)&gt;10,"SKS&gt;10",""))),"rumus")</f>
        <v>rumus</v>
      </c>
    </row>
    <row r="136" spans="1:14" s="2" customFormat="1" ht="15" hidden="1" customHeight="1" x14ac:dyDescent="0.45">
      <c r="A136" s="67"/>
      <c r="B136" s="168" t="str">
        <f>"b. Semester Genap "&amp;IF(C137&lt;&gt;"",C137,"")&amp;" :"</f>
        <v>b. Semester Genap 2009/2010 :</v>
      </c>
      <c r="C136" s="111"/>
      <c r="D136" s="111"/>
      <c r="E136" s="111"/>
      <c r="F136" s="111"/>
      <c r="G136" s="111"/>
      <c r="H136" s="112"/>
      <c r="I136" s="496"/>
      <c r="J136" s="496"/>
      <c r="K136" s="109"/>
      <c r="L136" s="109"/>
      <c r="M136" s="104">
        <f>IF((AND(N136="Max 5,5",SUM(K130:K135)&lt;=5.5)),SUM(K130:K135),IF((AND(N136="Max 5,5",SUM(K130:K135)&gt;5.5)),5.5,IF((AND(N136="Max 11",SUM(K130:K135)&lt;=11)),SUM(K130:K135),IF((AND(N136="Max 11",SUM(K130:K135)&gt;11)),11,""))))</f>
        <v>0</v>
      </c>
      <c r="N136" s="33" t="str">
        <f>IF('LAMPIRAN I DONE'!$F$21="Tenaga Pengajar","Max 5,5",IF(OR('LAMPIRAN I DONE'!$F$21="Asisten Ahli",'LAMPIRAN I DONE'!$F$21="Lektor",'LAMPIRAN I DONE'!$F$21="Lektor Kepala",'LAMPIRAN I DONE'!$F$21="Guru Besar"),"Max 11",""))</f>
        <v>Max 11</v>
      </c>
    </row>
    <row r="137" spans="1:14" s="2" customFormat="1" ht="25.5" hidden="1" customHeight="1" x14ac:dyDescent="0.45">
      <c r="A137" s="67">
        <v>1</v>
      </c>
      <c r="B137" s="163" t="s">
        <v>81</v>
      </c>
      <c r="C137" s="28" t="s">
        <v>146</v>
      </c>
      <c r="D137" s="28" t="str">
        <f>IF(G137&lt;&gt;"rumus","SKS","")</f>
        <v/>
      </c>
      <c r="E137" s="256" t="str">
        <f>IF(K137&lt;&gt;"rumus",(IF(OR(AND(L137="sks&gt;10",L136="sks&lt;=10",IFERROR(SUMPRODUCT($I$136:I136,$J$136:J136)&lt;10,FALSE)),AND(L137="sks&gt;10",L136="")),(((10-SUMPRODUCT($I$136:I136,$J$136:J136))&amp;" x "&amp;1)&amp;"
"&amp;(((I137*J137)-(10-SUMPRODUCT($I$136:I136,$J$136:J136)))&amp;" x "&amp;1)),(I137&amp;" x "&amp;J137))),"")</f>
        <v/>
      </c>
      <c r="F137" s="256" t="str">
        <f>IF(K137&lt;&gt;"rumus",(IF(OR(AND(L137="sks&gt;10",L136="sks&lt;=10",IFERROR(SUMPRODUCT($I$136:I136,$J$136:J136)&lt;10,FALSE)),AND(L137="sks&gt;10",L136="")),((IF('LAMPIRAN I DONE'!$F$21="Tenaga Pengajar",0.5,IF(OR('LAMPIRAN I DONE'!$F$21="Asisten Ahli",'LAMPIRAN I DONE'!$F$21="Lektor",'LAMPIRAN I DONE'!$F$21="Lektor Kepala",'LAMPIRAN I DONE'!$F$21="Guru Besar"),1,"")))&amp;"
"&amp;(IF('LAMPIRAN I DONE'!$F$21="Tenaga Pengajar",0.25,IF(OR('LAMPIRAN I DONE'!$F$21="Asisten Ahli",'LAMPIRAN I DONE'!$F$21="Lektor",'LAMPIRAN I DONE'!$F$21="Lektor Kepala",'LAMPIRAN I DONE'!$F$21="Guru Besar"),0.5,"")))),((IF(OR(AND(L137="sks&gt;10",L136="sks&gt;10"),AND(L137="sks&gt;10",L136="sks&lt;=10")),IF('LAMPIRAN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f>
        <v/>
      </c>
      <c r="G137" s="105" t="str">
        <f>IF(K137&lt;&gt;"rumus",(IF(OR(AND(L137="sks&gt;10",L136="sks&lt;=10",IFERROR(SUMPRODUCT($I$136:I136,$J$136:J136)&lt;10,FALSE)),AND(L137="sks&gt;10",L136="")),(((10-SUMPRODUCT($I$136:I136,$J$136:J136))&amp;" x "&amp;1&amp;" x "&amp;IF('LAMPIRAN I DONE'!$F$21="Tenaga Pengajar",0.5,IF(OR('LAMPIRAN I DONE'!$F$21="Asisten Ahli",'LAMPIRAN I DONE'!$F$21="Lektor",'LAMPIRAN I DONE'!$F$21="Lektor Kepala",'LAMPIRAN I DONE'!$F$21="Guru Besar"),1,""))&amp;" = "&amp;((10-SUMPRODUCT($I$136:I136,$J$136:J136))*IF('LAMPIRAN I DONE'!$F$21="Tenaga Pengajar",0.5,IF(OR('LAMPIRAN I DONE'!$F$21="Asisten Ahli",'LAMPIRAN I DONE'!$F$21="Lektor",'LAMPIRAN I DONE'!$F$21="Lektor Kepala",'LAMPIRAN I DONE'!$F$21="Guru Besar"),1,""))))&amp;"
"&amp;(((I137*J137)-(10-SUMPRODUCT($I$136:I136,$J$136:J136)))&amp;" x "&amp;1&amp;" x "&amp;IF('LAMPIRAN I DONE'!$F$21="Tenaga Pengajar",0.25,IF(OR('LAMPIRAN I DONE'!$F$21="Asisten Ahli",'LAMPIRAN I DONE'!$F$21="Lektor",'LAMPIRAN I DONE'!$F$21="Lektor Kepala",'LAMPIRAN I DONE'!$F$21="Guru Besar"),0.5,""))&amp;" = "&amp;(((I137*J137)-(10-SUMPRODUCT($I$136:I136,$J$136:J136)))*IF('LAMPIRAN I DONE'!$F$21="Tenaga Pengajar",0.25,IF(OR('LAMPIRAN I DONE'!$F$21="Asisten Ahli",'LAMPIRAN I DONE'!$F$21="Lektor",'LAMPIRAN I DONE'!$F$21="Lektor Kepala",'LAMPIRAN I DONE'!$F$21="Guru Besar"),0.5,""))))),(I137&amp;" x "&amp;J137&amp;" x "&amp;(IF(OR(AND(L137="sks&gt;10",L136="sks&gt;10"),AND(L137="sks&gt;10",L136="sks&lt;=10")),IF('LAMPIRAN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Besar"),1,""))))&amp;" = "&amp;K137))),"rumus")</f>
        <v>rumus</v>
      </c>
      <c r="H137" s="820" t="s">
        <v>620</v>
      </c>
      <c r="I137" s="34"/>
      <c r="J137" s="34"/>
      <c r="K137" s="27" t="str">
        <f>IF(AND(I137&lt;&gt;"",J137&lt;&gt;""),(IF(OR(AND(L137="sks&gt;10",L136="sks&lt;=10",IFERROR(SUMPRODUCT($I$136:I136,$J$136:J136)&lt;10,FALSE)),AND(L137="sks&gt;10",L136="")),(((10-SUMPRODUCT($I$136:I136,$J$136:J136))*IF('LAMPIRAN I DONE'!$F$21="Tenaga Pengajar",0.5,IF(OR('LAMPIRAN I DONE'!$F$21="Asisten Ahli",'LAMPIRAN I DONE'!$F$21="Lektor",'LAMPIRAN I DONE'!$F$21="Lektor Kepala",'LAMPIRAN I DONE'!$F$21="Guru Besar"),1,"")))+(((I137*J137)-(10-SUMPRODUCT($I$136:I136,$J$136:J136)))*IF('LAMPIRAN I DONE'!$F$21="Tenaga Pengajar",0.25,IF(OR('LAMPIRAN I DONE'!$F$21="Asisten Ahli",'LAMPIRAN I DONE'!$F$21="Lektor",'LAMPIRAN I DONE'!$F$21="Lektor Kepala",'LAMPIRAN I DONE'!$F$21="Guru Besar"),0.5,"")))),IF(OR(AND(L137="sks&gt;10",L136="sks&gt;10"),AND(L137="sks&gt;10",L136="sks&lt;=10")),I137*J137*IF('LAMPIRAN I DONE'!$F$21="Tenaga Pengajar",0.25,IF(OR('LAMPIRAN I DONE'!$F$21="Asisten Ahli",'LAMPIRAN I DONE'!$F$21="Lektor",'LAMPIRAN I DONE'!$F$21="Lektor Kepala",'LAMPIRAN I DONE'!$F$21="Guru Besar"),0.5,"")),I137*J137*IF('LAMPIRAN I DONE'!$F$21="Tenaga Pengajar",0.5,IF(OR('LAMPIRAN I DONE'!$F$21="Asisten Ahli",'LAMPIRAN I DONE'!$F$21="Lektor",'LAMPIRAN I DONE'!$F$21="Lektor Kepala",'LAMPIRAN I DONE'!$F$21="Guru Besar"),1,""))))),"rumus")</f>
        <v>rumus</v>
      </c>
      <c r="L137" s="27" t="str">
        <f>IF(AND(I137&lt;&gt;"",J137&lt;&gt;""),(IF(SUMPRODUCT($I$137:I137,$J$137:J137)&lt;=10,"SKS&lt;=10",IF(SUMPRODUCT($I$137:I137,$J$137:J137)&gt;10,"SKS&gt;10",""))),"rumus")</f>
        <v>rumus</v>
      </c>
    </row>
    <row r="138" spans="1:14" s="2" customFormat="1" ht="25.5" hidden="1" customHeight="1" x14ac:dyDescent="0.45">
      <c r="A138" s="67">
        <v>2</v>
      </c>
      <c r="B138" s="163" t="s">
        <v>81</v>
      </c>
      <c r="C138" s="28" t="s">
        <v>146</v>
      </c>
      <c r="D138" s="28" t="str">
        <f t="shared" ref="D138:D142" si="21">IF(G138&lt;&gt;"rumus","SKS","")</f>
        <v/>
      </c>
      <c r="E138" s="256" t="str">
        <f>IF(K138&lt;&gt;"rumus",(IF(OR(AND(L138="sks&gt;10",L137="sks&lt;=10",IFERROR(SUMPRODUCT($I$136:I137,$J$136:J137)&lt;10,FALSE)),AND(L138="sks&gt;10",L137="")),(((10-SUMPRODUCT($I$136:I137,$J$136:J137))&amp;" x "&amp;1)&amp;"
"&amp;(((I138*J138)-(10-SUMPRODUCT($I$136:I137,$J$136:J137)))&amp;" x "&amp;1)),(I138&amp;" x "&amp;J138))),"")</f>
        <v/>
      </c>
      <c r="F138" s="256" t="str">
        <f>IF(K138&lt;&gt;"rumus",(IF(OR(AND(L138="sks&gt;10",L137="sks&lt;=10",IFERROR(SUMPRODUCT($I$136:I137,$J$136:J137)&lt;10,FALSE)),AND(L138="sks&gt;10",L137="")),((IF('LAMPIRAN I DONE'!$F$21="Tenaga Pengajar",0.5,IF(OR('LAMPIRAN I DONE'!$F$21="Asisten Ahli",'LAMPIRAN I DONE'!$F$21="Lektor",'LAMPIRAN I DONE'!$F$21="Lektor Kepala",'LAMPIRAN I DONE'!$F$21="Guru Besar"),1,"")))&amp;"
"&amp;(IF('LAMPIRAN I DONE'!$F$21="Tenaga Pengajar",0.25,IF(OR('LAMPIRAN I DONE'!$F$21="Asisten Ahli",'LAMPIRAN I DONE'!$F$21="Lektor",'LAMPIRAN I DONE'!$F$21="Lektor Kepala",'LAMPIRAN I DONE'!$F$21="Guru Besar"),0.5,"")))),((IF(OR(AND(L138="sks&gt;10",L137="sks&gt;10"),AND(L138="sks&gt;10",L137="sks&lt;=10")),IF('LAMPIRAN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f>
        <v/>
      </c>
      <c r="G138" s="105" t="str">
        <f>IF(K138&lt;&gt;"rumus",(IF(OR(AND(L138="sks&gt;10",L137="sks&lt;=10",IFERROR(SUMPRODUCT($I$136:I137,$J$136:J137)&lt;10,FALSE)),AND(L138="sks&gt;10",L137="")),(((10-SUMPRODUCT($I$136:I137,$J$136:J137))&amp;" x "&amp;1&amp;" x "&amp;IF('LAMPIRAN I DONE'!$F$21="Tenaga Pengajar",0.5,IF(OR('LAMPIRAN I DONE'!$F$21="Asisten Ahli",'LAMPIRAN I DONE'!$F$21="Lektor",'LAMPIRAN I DONE'!$F$21="Lektor Kepala",'LAMPIRAN I DONE'!$F$21="Guru Besar"),1,""))&amp;" = "&amp;((10-SUMPRODUCT($I$136:I137,$J$136:J137))*IF('LAMPIRAN I DONE'!$F$21="Tenaga Pengajar",0.5,IF(OR('LAMPIRAN I DONE'!$F$21="Asisten Ahli",'LAMPIRAN I DONE'!$F$21="Lektor",'LAMPIRAN I DONE'!$F$21="Lektor Kepala",'LAMPIRAN I DONE'!$F$21="Guru Besar"),1,""))))&amp;"
"&amp;(((I138*J138)-(10-SUMPRODUCT($I$136:I137,$J$136:J137)))&amp;" x "&amp;1&amp;" x "&amp;IF('LAMPIRAN I DONE'!$F$21="Tenaga Pengajar",0.25,IF(OR('LAMPIRAN I DONE'!$F$21="Asisten Ahli",'LAMPIRAN I DONE'!$F$21="Lektor",'LAMPIRAN I DONE'!$F$21="Lektor Kepala",'LAMPIRAN I DONE'!$F$21="Guru Besar"),0.5,""))&amp;" = "&amp;(((I138*J138)-(10-SUMPRODUCT($I$136:I137,$J$136:J137)))*IF('LAMPIRAN I DONE'!$F$21="Tenaga Pengajar",0.25,IF(OR('LAMPIRAN I DONE'!$F$21="Asisten Ahli",'LAMPIRAN I DONE'!$F$21="Lektor",'LAMPIRAN I DONE'!$F$21="Lektor Kepala",'LAMPIRAN I DONE'!$F$21="Guru Besar"),0.5,""))))),(I138&amp;" x "&amp;J138&amp;" x "&amp;(IF(OR(AND(L138="sks&gt;10",L137="sks&gt;10"),AND(L138="sks&gt;10",L137="sks&lt;=10")),IF('LAMPIRAN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Besar"),1,""))))&amp;" = "&amp;K138))),"rumus")</f>
        <v>rumus</v>
      </c>
      <c r="H138" s="820" t="s">
        <v>620</v>
      </c>
      <c r="I138" s="34"/>
      <c r="J138" s="34"/>
      <c r="K138" s="27" t="str">
        <f>IF(AND(I138&lt;&gt;"",J138&lt;&gt;""),(IF(OR(AND(L138="sks&gt;10",L137="sks&lt;=10",IFERROR(SUMPRODUCT($I$136:I137,$J$136:J137)&lt;10,FALSE)),AND(L138="sks&gt;10",L137="")),(((10-SUMPRODUCT($I$136:I137,$J$136:J137))*IF('LAMPIRAN I DONE'!$F$21="Tenaga Pengajar",0.5,IF(OR('LAMPIRAN I DONE'!$F$21="Asisten Ahli",'LAMPIRAN I DONE'!$F$21="Lektor",'LAMPIRAN I DONE'!$F$21="Lektor Kepala",'LAMPIRAN I DONE'!$F$21="Guru Besar"),1,"")))+(((I138*J138)-(10-SUMPRODUCT($I$136:I137,$J$136:J137)))*IF('LAMPIRAN I DONE'!$F$21="Tenaga Pengajar",0.25,IF(OR('LAMPIRAN I DONE'!$F$21="Asisten Ahli",'LAMPIRAN I DONE'!$F$21="Lektor",'LAMPIRAN I DONE'!$F$21="Lektor Kepala",'LAMPIRAN I DONE'!$F$21="Guru Besar"),0.5,"")))),IF(OR(AND(L138="sks&gt;10",L137="sks&gt;10"),AND(L138="sks&gt;10",L137="sks&lt;=10")),I138*J138*IF('LAMPIRAN I DONE'!$F$21="Tenaga Pengajar",0.25,IF(OR('LAMPIRAN I DONE'!$F$21="Asisten Ahli",'LAMPIRAN I DONE'!$F$21="Lektor",'LAMPIRAN I DONE'!$F$21="Lektor Kepala",'LAMPIRAN I DONE'!$F$21="Guru Besar"),0.5,"")),I138*J138*IF('LAMPIRAN I DONE'!$F$21="Tenaga Pengajar",0.5,IF(OR('LAMPIRAN I DONE'!$F$21="Asisten Ahli",'LAMPIRAN I DONE'!$F$21="Lektor",'LAMPIRAN I DONE'!$F$21="Lektor Kepala",'LAMPIRAN I DONE'!$F$21="Guru Besar"),1,""))))),"rumus")</f>
        <v>rumus</v>
      </c>
      <c r="L138" s="27" t="str">
        <f>IF(AND(I138&lt;&gt;"",J138&lt;&gt;""),(IF(SUMPRODUCT($I$137:I138,$J$137:J138)&lt;=10,"SKS&lt;=10",IF(SUMPRODUCT($I$137:I138,$J$137:J138)&gt;10,"SKS&gt;10",""))),"rumus")</f>
        <v>rumus</v>
      </c>
    </row>
    <row r="139" spans="1:14" s="2" customFormat="1" ht="25.5" hidden="1" customHeight="1" x14ac:dyDescent="0.45">
      <c r="A139" s="67">
        <v>3</v>
      </c>
      <c r="B139" s="163" t="s">
        <v>81</v>
      </c>
      <c r="C139" s="28" t="s">
        <v>146</v>
      </c>
      <c r="D139" s="28" t="str">
        <f t="shared" si="21"/>
        <v/>
      </c>
      <c r="E139" s="256" t="str">
        <f>IF(K139&lt;&gt;"rumus",(IF(OR(AND(L139="sks&gt;10",L138="sks&lt;=10",IFERROR(SUMPRODUCT($I$136:I138,$J$136:J138)&lt;10,FALSE)),AND(L139="sks&gt;10",L138="")),(((10-SUMPRODUCT($I$136:I138,$J$136:J138))&amp;" x "&amp;1)&amp;"
"&amp;(((I139*J139)-(10-SUMPRODUCT($I$136:I138,$J$136:J138)))&amp;" x "&amp;1)),(I139&amp;" x "&amp;J139))),"")</f>
        <v/>
      </c>
      <c r="F139" s="256" t="str">
        <f>IF(K139&lt;&gt;"rumus",(IF(OR(AND(L139="sks&gt;10",L138="sks&lt;=10",IFERROR(SUMPRODUCT($I$136:I138,$J$136:J138)&lt;10,FALSE)),AND(L139="sks&gt;10",L138="")),((IF('LAMPIRAN I DONE'!$F$21="Tenaga Pengajar",0.5,IF(OR('LAMPIRAN I DONE'!$F$21="Asisten Ahli",'LAMPIRAN I DONE'!$F$21="Lektor",'LAMPIRAN I DONE'!$F$21="Lektor Kepala",'LAMPIRAN I DONE'!$F$21="Guru Besar"),1,"")))&amp;"
"&amp;(IF('LAMPIRAN I DONE'!$F$21="Tenaga Pengajar",0.25,IF(OR('LAMPIRAN I DONE'!$F$21="Asisten Ahli",'LAMPIRAN I DONE'!$F$21="Lektor",'LAMPIRAN I DONE'!$F$21="Lektor Kepala",'LAMPIRAN I DONE'!$F$21="Guru Besar"),0.5,"")))),((IF(OR(AND(L139="sks&gt;10",L138="sks&gt;10"),AND(L139="sks&gt;10",L138="sks&lt;=10")),IF('LAMPIRAN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f>
        <v/>
      </c>
      <c r="G139" s="105" t="str">
        <f>IF(K139&lt;&gt;"rumus",(IF(OR(AND(L139="sks&gt;10",L138="sks&lt;=10",IFERROR(SUMPRODUCT($I$136:I138,$J$136:J138)&lt;10,FALSE)),AND(L139="sks&gt;10",L138="")),(((10-SUMPRODUCT($I$136:I138,$J$136:J138))&amp;" x "&amp;1&amp;" x "&amp;IF('LAMPIRAN I DONE'!$F$21="Tenaga Pengajar",0.5,IF(OR('LAMPIRAN I DONE'!$F$21="Asisten Ahli",'LAMPIRAN I DONE'!$F$21="Lektor",'LAMPIRAN I DONE'!$F$21="Lektor Kepala",'LAMPIRAN I DONE'!$F$21="Guru Besar"),1,""))&amp;" = "&amp;((10-SUMPRODUCT($I$136:I138,$J$136:J138))*IF('LAMPIRAN I DONE'!$F$21="Tenaga Pengajar",0.5,IF(OR('LAMPIRAN I DONE'!$F$21="Asisten Ahli",'LAMPIRAN I DONE'!$F$21="Lektor",'LAMPIRAN I DONE'!$F$21="Lektor Kepala",'LAMPIRAN I DONE'!$F$21="Guru Besar"),1,""))))&amp;"
"&amp;(((I139*J139)-(10-SUMPRODUCT($I$136:I138,$J$136:J138)))&amp;" x "&amp;1&amp;" x "&amp;IF('LAMPIRAN I DONE'!$F$21="Tenaga Pengajar",0.25,IF(OR('LAMPIRAN I DONE'!$F$21="Asisten Ahli",'LAMPIRAN I DONE'!$F$21="Lektor",'LAMPIRAN I DONE'!$F$21="Lektor Kepala",'LAMPIRAN I DONE'!$F$21="Guru Besar"),0.5,""))&amp;" = "&amp;(((I139*J139)-(10-SUMPRODUCT($I$136:I138,$J$136:J138)))*IF('LAMPIRAN I DONE'!$F$21="Tenaga Pengajar",0.25,IF(OR('LAMPIRAN I DONE'!$F$21="Asisten Ahli",'LAMPIRAN I DONE'!$F$21="Lektor",'LAMPIRAN I DONE'!$F$21="Lektor Kepala",'LAMPIRAN I DONE'!$F$21="Guru Besar"),0.5,""))))),(I139&amp;" x "&amp;J139&amp;" x "&amp;(IF(OR(AND(L139="sks&gt;10",L138="sks&gt;10"),AND(L139="sks&gt;10",L138="sks&lt;=10")),IF('LAMPIRAN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Besar"),1,""))))&amp;" = "&amp;K139))),"rumus")</f>
        <v>rumus</v>
      </c>
      <c r="H139" s="820" t="s">
        <v>620</v>
      </c>
      <c r="I139" s="34"/>
      <c r="J139" s="34"/>
      <c r="K139" s="27" t="str">
        <f>IF(AND(I139&lt;&gt;"",J139&lt;&gt;""),(IF(OR(AND(L139="sks&gt;10",L138="sks&lt;=10",IFERROR(SUMPRODUCT($I$136:I138,$J$136:J138)&lt;10,FALSE)),AND(L139="sks&gt;10",L138="")),(((10-SUMPRODUCT($I$136:I138,$J$136:J138))*IF('LAMPIRAN I DONE'!$F$21="Tenaga Pengajar",0.5,IF(OR('LAMPIRAN I DONE'!$F$21="Asisten Ahli",'LAMPIRAN I DONE'!$F$21="Lektor",'LAMPIRAN I DONE'!$F$21="Lektor Kepala",'LAMPIRAN I DONE'!$F$21="Guru Besar"),1,"")))+(((I139*J139)-(10-SUMPRODUCT($I$136:I138,$J$136:J138)))*IF('LAMPIRAN I DONE'!$F$21="Tenaga Pengajar",0.25,IF(OR('LAMPIRAN I DONE'!$F$21="Asisten Ahli",'LAMPIRAN I DONE'!$F$21="Lektor",'LAMPIRAN I DONE'!$F$21="Lektor Kepala",'LAMPIRAN I DONE'!$F$21="Guru Besar"),0.5,"")))),IF(OR(AND(L139="sks&gt;10",L138="sks&gt;10"),AND(L139="sks&gt;10",L138="sks&lt;=10")),I139*J139*IF('LAMPIRAN I DONE'!$F$21="Tenaga Pengajar",0.25,IF(OR('LAMPIRAN I DONE'!$F$21="Asisten Ahli",'LAMPIRAN I DONE'!$F$21="Lektor",'LAMPIRAN I DONE'!$F$21="Lektor Kepala",'LAMPIRAN I DONE'!$F$21="Guru Besar"),0.5,"")),I139*J139*IF('LAMPIRAN I DONE'!$F$21="Tenaga Pengajar",0.5,IF(OR('LAMPIRAN I DONE'!$F$21="Asisten Ahli",'LAMPIRAN I DONE'!$F$21="Lektor",'LAMPIRAN I DONE'!$F$21="Lektor Kepala",'LAMPIRAN I DONE'!$F$21="Guru Besar"),1,""))))),"rumus")</f>
        <v>rumus</v>
      </c>
      <c r="L139" s="27" t="str">
        <f>IF(AND(I139&lt;&gt;"",J139&lt;&gt;""),(IF(SUMPRODUCT($I$137:I139,$J$137:J139)&lt;=10,"SKS&lt;=10",IF(SUMPRODUCT($I$137:I139,$J$137:J139)&gt;10,"SKS&gt;10",""))),"rumus")</f>
        <v>rumus</v>
      </c>
    </row>
    <row r="140" spans="1:14" s="2" customFormat="1" ht="25.5" hidden="1" customHeight="1" x14ac:dyDescent="0.45">
      <c r="A140" s="67">
        <v>4</v>
      </c>
      <c r="B140" s="163" t="s">
        <v>81</v>
      </c>
      <c r="C140" s="28" t="s">
        <v>146</v>
      </c>
      <c r="D140" s="28" t="str">
        <f t="shared" si="21"/>
        <v/>
      </c>
      <c r="E140" s="256" t="str">
        <f>IF(K140&lt;&gt;"rumus",(IF(OR(AND(L140="sks&gt;10",L139="sks&lt;=10",IFERROR(SUMPRODUCT($I$136:I139,$J$136:J139)&lt;10,FALSE)),AND(L140="sks&gt;10",L139="")),(((10-SUMPRODUCT($I$136:I139,$J$136:J139))&amp;" x "&amp;1)&amp;"
"&amp;(((I140*J140)-(10-SUMPRODUCT($I$136:I139,$J$136:J139)))&amp;" x "&amp;1)),(I140&amp;" x "&amp;J140))),"")</f>
        <v/>
      </c>
      <c r="F140" s="256" t="str">
        <f>IF(K140&lt;&gt;"rumus",(IF(OR(AND(L140="sks&gt;10",L139="sks&lt;=10",IFERROR(SUMPRODUCT($I$136:I139,$J$136:J139)&lt;10,FALSE)),AND(L140="sks&gt;10",L139="")),((IF('LAMPIRAN I DONE'!$F$21="Tenaga Pengajar",0.5,IF(OR('LAMPIRAN I DONE'!$F$21="Asisten Ahli",'LAMPIRAN I DONE'!$F$21="Lektor",'LAMPIRAN I DONE'!$F$21="Lektor Kepala",'LAMPIRAN I DONE'!$F$21="Guru Besar"),1,"")))&amp;"
"&amp;(IF('LAMPIRAN I DONE'!$F$21="Tenaga Pengajar",0.25,IF(OR('LAMPIRAN I DONE'!$F$21="Asisten Ahli",'LAMPIRAN I DONE'!$F$21="Lektor",'LAMPIRAN I DONE'!$F$21="Lektor Kepala",'LAMPIRAN I DONE'!$F$21="Guru Besar"),0.5,"")))),((IF(OR(AND(L140="sks&gt;10",L139="sks&gt;10"),AND(L140="sks&gt;10",L139="sks&lt;=10")),IF('LAMPIRAN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f>
        <v/>
      </c>
      <c r="G140" s="105" t="str">
        <f>IF(K140&lt;&gt;"rumus",(IF(OR(AND(L140="sks&gt;10",L139="sks&lt;=10",IFERROR(SUMPRODUCT($I$136:I139,$J$136:J139)&lt;10,FALSE)),AND(L140="sks&gt;10",L139="")),(((10-SUMPRODUCT($I$136:I139,$J$136:J139))&amp;" x "&amp;1&amp;" x "&amp;IF('LAMPIRAN I DONE'!$F$21="Tenaga Pengajar",0.5,IF(OR('LAMPIRAN I DONE'!$F$21="Asisten Ahli",'LAMPIRAN I DONE'!$F$21="Lektor",'LAMPIRAN I DONE'!$F$21="Lektor Kepala",'LAMPIRAN I DONE'!$F$21="Guru Besar"),1,""))&amp;" = "&amp;((10-SUMPRODUCT($I$136:I139,$J$136:J139))*IF('LAMPIRAN I DONE'!$F$21="Tenaga Pengajar",0.5,IF(OR('LAMPIRAN I DONE'!$F$21="Asisten Ahli",'LAMPIRAN I DONE'!$F$21="Lektor",'LAMPIRAN I DONE'!$F$21="Lektor Kepala",'LAMPIRAN I DONE'!$F$21="Guru Besar"),1,""))))&amp;"
"&amp;(((I140*J140)-(10-SUMPRODUCT($I$136:I139,$J$136:J139)))&amp;" x "&amp;1&amp;" x "&amp;IF('LAMPIRAN I DONE'!$F$21="Tenaga Pengajar",0.25,IF(OR('LAMPIRAN I DONE'!$F$21="Asisten Ahli",'LAMPIRAN I DONE'!$F$21="Lektor",'LAMPIRAN I DONE'!$F$21="Lektor Kepala",'LAMPIRAN I DONE'!$F$21="Guru Besar"),0.5,""))&amp;" = "&amp;(((I140*J140)-(10-SUMPRODUCT($I$136:I139,$J$136:J139)))*IF('LAMPIRAN I DONE'!$F$21="Tenaga Pengajar",0.25,IF(OR('LAMPIRAN I DONE'!$F$21="Asisten Ahli",'LAMPIRAN I DONE'!$F$21="Lektor",'LAMPIRAN I DONE'!$F$21="Lektor Kepala",'LAMPIRAN I DONE'!$F$21="Guru Besar"),0.5,""))))),(I140&amp;" x "&amp;J140&amp;" x "&amp;(IF(OR(AND(L140="sks&gt;10",L139="sks&gt;10"),AND(L140="sks&gt;10",L139="sks&lt;=10")),IF('LAMPIRAN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Besar"),1,""))))&amp;" = "&amp;K140))),"rumus")</f>
        <v>rumus</v>
      </c>
      <c r="H140" s="820" t="s">
        <v>620</v>
      </c>
      <c r="I140" s="34"/>
      <c r="J140" s="34"/>
      <c r="K140" s="27" t="str">
        <f>IF(AND(I140&lt;&gt;"",J140&lt;&gt;""),(IF(OR(AND(L140="sks&gt;10",L139="sks&lt;=10",IFERROR(SUMPRODUCT($I$136:I139,$J$136:J139)&lt;10,FALSE)),AND(L140="sks&gt;10",L139="")),(((10-SUMPRODUCT($I$136:I139,$J$136:J139))*IF('LAMPIRAN I DONE'!$F$21="Tenaga Pengajar",0.5,IF(OR('LAMPIRAN I DONE'!$F$21="Asisten Ahli",'LAMPIRAN I DONE'!$F$21="Lektor",'LAMPIRAN I DONE'!$F$21="Lektor Kepala",'LAMPIRAN I DONE'!$F$21="Guru Besar"),1,"")))+(((I140*J140)-(10-SUMPRODUCT($I$136:I139,$J$136:J139)))*IF('LAMPIRAN I DONE'!$F$21="Tenaga Pengajar",0.25,IF(OR('LAMPIRAN I DONE'!$F$21="Asisten Ahli",'LAMPIRAN I DONE'!$F$21="Lektor",'LAMPIRAN I DONE'!$F$21="Lektor Kepala",'LAMPIRAN I DONE'!$F$21="Guru Besar"),0.5,"")))),IF(OR(AND(L140="sks&gt;10",L139="sks&gt;10"),AND(L140="sks&gt;10",L139="sks&lt;=10")),I140*J140*IF('LAMPIRAN I DONE'!$F$21="Tenaga Pengajar",0.25,IF(OR('LAMPIRAN I DONE'!$F$21="Asisten Ahli",'LAMPIRAN I DONE'!$F$21="Lektor",'LAMPIRAN I DONE'!$F$21="Lektor Kepala",'LAMPIRAN I DONE'!$F$21="Guru Besar"),0.5,"")),I140*J140*IF('LAMPIRAN I DONE'!$F$21="Tenaga Pengajar",0.5,IF(OR('LAMPIRAN I DONE'!$F$21="Asisten Ahli",'LAMPIRAN I DONE'!$F$21="Lektor",'LAMPIRAN I DONE'!$F$21="Lektor Kepala",'LAMPIRAN I DONE'!$F$21="Guru Besar"),1,""))))),"rumus")</f>
        <v>rumus</v>
      </c>
      <c r="L140" s="27" t="str">
        <f>IF(AND(I140&lt;&gt;"",J140&lt;&gt;""),(IF(SUMPRODUCT($I$137:I140,$J$137:J140)&lt;=10,"SKS&lt;=10",IF(SUMPRODUCT($I$137:I140,$J$137:J140)&gt;10,"SKS&gt;10",""))),"rumus")</f>
        <v>rumus</v>
      </c>
    </row>
    <row r="141" spans="1:14" s="2" customFormat="1" ht="25.5" hidden="1" customHeight="1" x14ac:dyDescent="0.45">
      <c r="A141" s="67">
        <v>5</v>
      </c>
      <c r="B141" s="163" t="s">
        <v>81</v>
      </c>
      <c r="C141" s="28" t="s">
        <v>146</v>
      </c>
      <c r="D141" s="28" t="str">
        <f t="shared" si="21"/>
        <v/>
      </c>
      <c r="E141" s="256" t="str">
        <f>IF(K141&lt;&gt;"rumus",(IF(OR(AND(L141="sks&gt;10",L140="sks&lt;=10",IFERROR(SUMPRODUCT($I$136:I140,$J$136:J140)&lt;10,FALSE)),AND(L141="sks&gt;10",L140="")),(((10-SUMPRODUCT($I$136:I140,$J$136:J140))&amp;" x "&amp;1)&amp;"
"&amp;(((I141*J141)-(10-SUMPRODUCT($I$136:I140,$J$136:J140)))&amp;" x "&amp;1)),(I141&amp;" x "&amp;J141))),"")</f>
        <v/>
      </c>
      <c r="F141" s="256" t="str">
        <f>IF(K141&lt;&gt;"rumus",(IF(OR(AND(L141="sks&gt;10",L140="sks&lt;=10",IFERROR(SUMPRODUCT($I$136:I140,$J$136:J140)&lt;10,FALSE)),AND(L141="sks&gt;10",L140="")),((IF('LAMPIRAN I DONE'!$F$21="Tenaga Pengajar",0.5,IF(OR('LAMPIRAN I DONE'!$F$21="Asisten Ahli",'LAMPIRAN I DONE'!$F$21="Lektor",'LAMPIRAN I DONE'!$F$21="Lektor Kepala",'LAMPIRAN I DONE'!$F$21="Guru Besar"),1,"")))&amp;"
"&amp;(IF('LAMPIRAN I DONE'!$F$21="Tenaga Pengajar",0.25,IF(OR('LAMPIRAN I DONE'!$F$21="Asisten Ahli",'LAMPIRAN I DONE'!$F$21="Lektor",'LAMPIRAN I DONE'!$F$21="Lektor Kepala",'LAMPIRAN I DONE'!$F$21="Guru Besar"),0.5,"")))),((IF(OR(AND(L141="sks&gt;10",L140="sks&gt;10"),AND(L141="sks&gt;10",L140="sks&lt;=10")),IF('LAMPIRAN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f>
        <v/>
      </c>
      <c r="G141" s="105" t="str">
        <f>IF(K141&lt;&gt;"rumus",(IF(OR(AND(L141="sks&gt;10",L140="sks&lt;=10",IFERROR(SUMPRODUCT($I$136:I140,$J$136:J140)&lt;10,FALSE)),AND(L141="sks&gt;10",L140="")),(((10-SUMPRODUCT($I$136:I140,$J$136:J140))&amp;" x "&amp;1&amp;" x "&amp;IF('LAMPIRAN I DONE'!$F$21="Tenaga Pengajar",0.5,IF(OR('LAMPIRAN I DONE'!$F$21="Asisten Ahli",'LAMPIRAN I DONE'!$F$21="Lektor",'LAMPIRAN I DONE'!$F$21="Lektor Kepala",'LAMPIRAN I DONE'!$F$21="Guru Besar"),1,""))&amp;" = "&amp;((10-SUMPRODUCT($I$136:I140,$J$136:J140))*IF('LAMPIRAN I DONE'!$F$21="Tenaga Pengajar",0.5,IF(OR('LAMPIRAN I DONE'!$F$21="Asisten Ahli",'LAMPIRAN I DONE'!$F$21="Lektor",'LAMPIRAN I DONE'!$F$21="Lektor Kepala",'LAMPIRAN I DONE'!$F$21="Guru Besar"),1,""))))&amp;"
"&amp;(((I141*J141)-(10-SUMPRODUCT($I$136:I140,$J$136:J140)))&amp;" x "&amp;1&amp;" x "&amp;IF('LAMPIRAN I DONE'!$F$21="Tenaga Pengajar",0.25,IF(OR('LAMPIRAN I DONE'!$F$21="Asisten Ahli",'LAMPIRAN I DONE'!$F$21="Lektor",'LAMPIRAN I DONE'!$F$21="Lektor Kepala",'LAMPIRAN I DONE'!$F$21="Guru Besar"),0.5,""))&amp;" = "&amp;(((I141*J141)-(10-SUMPRODUCT($I$136:I140,$J$136:J140)))*IF('LAMPIRAN I DONE'!$F$21="Tenaga Pengajar",0.25,IF(OR('LAMPIRAN I DONE'!$F$21="Asisten Ahli",'LAMPIRAN I DONE'!$F$21="Lektor",'LAMPIRAN I DONE'!$F$21="Lektor Kepala",'LAMPIRAN I DONE'!$F$21="Guru Besar"),0.5,""))))),(I141&amp;" x "&amp;J141&amp;" x "&amp;(IF(OR(AND(L141="sks&gt;10",L140="sks&gt;10"),AND(L141="sks&gt;10",L140="sks&lt;=10")),IF('LAMPIRAN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Besar"),1,""))))&amp;" = "&amp;K141))),"rumus")</f>
        <v>rumus</v>
      </c>
      <c r="H141" s="820" t="s">
        <v>620</v>
      </c>
      <c r="I141" s="34"/>
      <c r="J141" s="34"/>
      <c r="K141" s="27" t="str">
        <f>IF(AND(I141&lt;&gt;"",J141&lt;&gt;""),(IF(OR(AND(L141="sks&gt;10",L140="sks&lt;=10",IFERROR(SUMPRODUCT($I$136:I140,$J$136:J140)&lt;10,FALSE)),AND(L141="sks&gt;10",L140="")),(((10-SUMPRODUCT($I$136:I140,$J$136:J140))*IF('LAMPIRAN I DONE'!$F$21="Tenaga Pengajar",0.5,IF(OR('LAMPIRAN I DONE'!$F$21="Asisten Ahli",'LAMPIRAN I DONE'!$F$21="Lektor",'LAMPIRAN I DONE'!$F$21="Lektor Kepala",'LAMPIRAN I DONE'!$F$21="Guru Besar"),1,"")))+(((I141*J141)-(10-SUMPRODUCT($I$136:I140,$J$136:J140)))*IF('LAMPIRAN I DONE'!$F$21="Tenaga Pengajar",0.25,IF(OR('LAMPIRAN I DONE'!$F$21="Asisten Ahli",'LAMPIRAN I DONE'!$F$21="Lektor",'LAMPIRAN I DONE'!$F$21="Lektor Kepala",'LAMPIRAN I DONE'!$F$21="Guru Besar"),0.5,"")))),IF(OR(AND(L141="sks&gt;10",L140="sks&gt;10"),AND(L141="sks&gt;10",L140="sks&lt;=10")),I141*J141*IF('LAMPIRAN I DONE'!$F$21="Tenaga Pengajar",0.25,IF(OR('LAMPIRAN I DONE'!$F$21="Asisten Ahli",'LAMPIRAN I DONE'!$F$21="Lektor",'LAMPIRAN I DONE'!$F$21="Lektor Kepala",'LAMPIRAN I DONE'!$F$21="Guru Besar"),0.5,"")),I141*J141*IF('LAMPIRAN I DONE'!$F$21="Tenaga Pengajar",0.5,IF(OR('LAMPIRAN I DONE'!$F$21="Asisten Ahli",'LAMPIRAN I DONE'!$F$21="Lektor",'LAMPIRAN I DONE'!$F$21="Lektor Kepala",'LAMPIRAN I DONE'!$F$21="Guru Besar"),1,""))))),"rumus")</f>
        <v>rumus</v>
      </c>
      <c r="L141" s="27" t="str">
        <f>IF(AND(I141&lt;&gt;"",J141&lt;&gt;""),(IF(SUMPRODUCT($I$137:I141,$J$137:J141)&lt;=10,"SKS&lt;=10",IF(SUMPRODUCT($I$137:I141,$J$137:J141)&gt;10,"SKS&gt;10",""))),"rumus")</f>
        <v>rumus</v>
      </c>
    </row>
    <row r="142" spans="1:14" s="2" customFormat="1" ht="25.5" hidden="1" customHeight="1" x14ac:dyDescent="0.45">
      <c r="A142" s="67">
        <v>6</v>
      </c>
      <c r="B142" s="163" t="s">
        <v>81</v>
      </c>
      <c r="C142" s="28" t="s">
        <v>146</v>
      </c>
      <c r="D142" s="28" t="str">
        <f t="shared" si="21"/>
        <v/>
      </c>
      <c r="E142" s="256" t="str">
        <f>IF(K142&lt;&gt;"rumus",(IF(OR(AND(L142="sks&gt;10",L141="sks&lt;=10",IFERROR(SUMPRODUCT($I$136:I141,$J$136:J141)&lt;10,FALSE)),AND(L142="sks&gt;10",L141="")),(((10-SUMPRODUCT($I$136:I141,$J$136:J141))&amp;" x "&amp;1)&amp;"
"&amp;(((I142*J142)-(10-SUMPRODUCT($I$136:I141,$J$136:J141)))&amp;" x "&amp;1)),(I142&amp;" x "&amp;J142))),"")</f>
        <v/>
      </c>
      <c r="F142" s="256" t="str">
        <f>IF(K142&lt;&gt;"rumus",(IF(OR(AND(L142="sks&gt;10",L141="sks&lt;=10",IFERROR(SUMPRODUCT($I$136:I141,$J$136:J141)&lt;10,FALSE)),AND(L142="sks&gt;10",L141="")),((IF('LAMPIRAN I DONE'!$F$21="Tenaga Pengajar",0.5,IF(OR('LAMPIRAN I DONE'!$F$21="Asisten Ahli",'LAMPIRAN I DONE'!$F$21="Lektor",'LAMPIRAN I DONE'!$F$21="Lektor Kepala",'LAMPIRAN I DONE'!$F$21="Guru Besar"),1,"")))&amp;"
"&amp;(IF('LAMPIRAN I DONE'!$F$21="Tenaga Pengajar",0.25,IF(OR('LAMPIRAN I DONE'!$F$21="Asisten Ahli",'LAMPIRAN I DONE'!$F$21="Lektor",'LAMPIRAN I DONE'!$F$21="Lektor Kepala",'LAMPIRAN I DONE'!$F$21="Guru Besar"),0.5,"")))),((IF(OR(AND(L142="sks&gt;10",L141="sks&gt;10"),AND(L142="sks&gt;10",L141="sks&lt;=10")),IF('LAMPIRAN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f>
        <v/>
      </c>
      <c r="G142" s="105" t="str">
        <f>IF(K142&lt;&gt;"rumus",(IF(OR(AND(L142="sks&gt;10",L141="sks&lt;=10",IFERROR(SUMPRODUCT($I$136:I141,$J$136:J141)&lt;10,FALSE)),AND(L142="sks&gt;10",L141="")),(((10-SUMPRODUCT($I$136:I141,$J$136:J141))&amp;" x "&amp;1&amp;" x "&amp;IF('LAMPIRAN I DONE'!$F$21="Tenaga Pengajar",0.5,IF(OR('LAMPIRAN I DONE'!$F$21="Asisten Ahli",'LAMPIRAN I DONE'!$F$21="Lektor",'LAMPIRAN I DONE'!$F$21="Lektor Kepala",'LAMPIRAN I DONE'!$F$21="Guru Besar"),1,""))&amp;" = "&amp;((10-SUMPRODUCT($I$136:I141,$J$136:J141))*IF('LAMPIRAN I DONE'!$F$21="Tenaga Pengajar",0.5,IF(OR('LAMPIRAN I DONE'!$F$21="Asisten Ahli",'LAMPIRAN I DONE'!$F$21="Lektor",'LAMPIRAN I DONE'!$F$21="Lektor Kepala",'LAMPIRAN I DONE'!$F$21="Guru Besar"),1,""))))&amp;"
"&amp;(((I142*J142)-(10-SUMPRODUCT($I$136:I141,$J$136:J141)))&amp;" x "&amp;1&amp;" x "&amp;IF('LAMPIRAN I DONE'!$F$21="Tenaga Pengajar",0.25,IF(OR('LAMPIRAN I DONE'!$F$21="Asisten Ahli",'LAMPIRAN I DONE'!$F$21="Lektor",'LAMPIRAN I DONE'!$F$21="Lektor Kepala",'LAMPIRAN I DONE'!$F$21="Guru Besar"),0.5,""))&amp;" = "&amp;(((I142*J142)-(10-SUMPRODUCT($I$136:I141,$J$136:J141)))*IF('LAMPIRAN I DONE'!$F$21="Tenaga Pengajar",0.25,IF(OR('LAMPIRAN I DONE'!$F$21="Asisten Ahli",'LAMPIRAN I DONE'!$F$21="Lektor",'LAMPIRAN I DONE'!$F$21="Lektor Kepala",'LAMPIRAN I DONE'!$F$21="Guru Besar"),0.5,""))))),(I142&amp;" x "&amp;J142&amp;" x "&amp;(IF(OR(AND(L142="sks&gt;10",L141="sks&gt;10"),AND(L142="sks&gt;10",L141="sks&lt;=10")),IF('LAMPIRAN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Besar"),1,""))))&amp;" = "&amp;K142))),"rumus")</f>
        <v>rumus</v>
      </c>
      <c r="H142" s="820" t="s">
        <v>620</v>
      </c>
      <c r="I142" s="34"/>
      <c r="J142" s="34"/>
      <c r="K142" s="27" t="str">
        <f>IF(AND(I142&lt;&gt;"",J142&lt;&gt;""),(IF(OR(AND(L142="sks&gt;10",L141="sks&lt;=10",IFERROR(SUMPRODUCT($I$136:I141,$J$136:J141)&lt;10,FALSE)),AND(L142="sks&gt;10",L141="")),(((10-SUMPRODUCT($I$136:I141,$J$136:J141))*IF('LAMPIRAN I DONE'!$F$21="Tenaga Pengajar",0.5,IF(OR('LAMPIRAN I DONE'!$F$21="Asisten Ahli",'LAMPIRAN I DONE'!$F$21="Lektor",'LAMPIRAN I DONE'!$F$21="Lektor Kepala",'LAMPIRAN I DONE'!$F$21="Guru Besar"),1,"")))+(((I142*J142)-(10-SUMPRODUCT($I$136:I141,$J$136:J141)))*IF('LAMPIRAN I DONE'!$F$21="Tenaga Pengajar",0.25,IF(OR('LAMPIRAN I DONE'!$F$21="Asisten Ahli",'LAMPIRAN I DONE'!$F$21="Lektor",'LAMPIRAN I DONE'!$F$21="Lektor Kepala",'LAMPIRAN I DONE'!$F$21="Guru Besar"),0.5,"")))),IF(OR(AND(L142="sks&gt;10",L141="sks&gt;10"),AND(L142="sks&gt;10",L141="sks&lt;=10")),I142*J142*IF('LAMPIRAN I DONE'!$F$21="Tenaga Pengajar",0.25,IF(OR('LAMPIRAN I DONE'!$F$21="Asisten Ahli",'LAMPIRAN I DONE'!$F$21="Lektor",'LAMPIRAN I DONE'!$F$21="Lektor Kepala",'LAMPIRAN I DONE'!$F$21="Guru Besar"),0.5,"")),I142*J142*IF('LAMPIRAN I DONE'!$F$21="Tenaga Pengajar",0.5,IF(OR('LAMPIRAN I DONE'!$F$21="Asisten Ahli",'LAMPIRAN I DONE'!$F$21="Lektor",'LAMPIRAN I DONE'!$F$21="Lektor Kepala",'LAMPIRAN I DONE'!$F$21="Guru Besar"),1,""))))),"rumus")</f>
        <v>rumus</v>
      </c>
      <c r="L142" s="27" t="str">
        <f>IF(AND(I142&lt;&gt;"",J142&lt;&gt;""),(IF(SUMPRODUCT($I$137:I142,$J$137:J142)&lt;=10,"SKS&lt;=10",IF(SUMPRODUCT($I$137:I142,$J$137:J142)&gt;10,"SKS&gt;10",""))),"rumus")</f>
        <v>rumus</v>
      </c>
    </row>
    <row r="143" spans="1:14" s="2" customFormat="1" ht="15" hidden="1" customHeight="1" x14ac:dyDescent="0.45">
      <c r="A143" s="67"/>
      <c r="B143" s="168" t="str">
        <f>"b. Semester Genap "&amp;IF(C144&lt;&gt;"",C144,"")&amp;" :"</f>
        <v>b. Semester Genap 2010/2011 :</v>
      </c>
      <c r="C143" s="111"/>
      <c r="D143" s="111"/>
      <c r="E143" s="111"/>
      <c r="F143" s="111"/>
      <c r="G143" s="111"/>
      <c r="H143" s="112"/>
      <c r="I143" s="496"/>
      <c r="J143" s="496"/>
      <c r="K143" s="109"/>
      <c r="L143" s="109"/>
      <c r="M143" s="104">
        <f>IF((AND(N143="Max 5,5",SUM(K137:K142)&lt;=5.5)),SUM(K137:K142),IF((AND(N143="Max 5,5",SUM(K137:K142)&gt;5.5)),5.5,IF((AND(N143="Max 11",SUM(K137:K142)&lt;=11)),SUM(K137:K142),IF((AND(N143="Max 11",SUM(K137:K142)&gt;11)),11,""))))</f>
        <v>0</v>
      </c>
      <c r="N143" s="33" t="str">
        <f>IF('LAMPIRAN I DONE'!$F$21="Tenaga Pengajar","Max 5,5",IF(OR('LAMPIRAN I DONE'!$F$21="Asisten Ahli",'LAMPIRAN I DONE'!$F$21="Lektor",'LAMPIRAN I DONE'!$F$21="Lektor Kepala",'LAMPIRAN I DONE'!$F$21="Guru Besar"),"Max 11",""))</f>
        <v>Max 11</v>
      </c>
    </row>
    <row r="144" spans="1:14" s="2" customFormat="1" ht="25.5" hidden="1" customHeight="1" x14ac:dyDescent="0.45">
      <c r="A144" s="67">
        <v>1</v>
      </c>
      <c r="B144" s="163" t="s">
        <v>81</v>
      </c>
      <c r="C144" s="28" t="s">
        <v>108</v>
      </c>
      <c r="D144" s="28" t="str">
        <f>IF(G144&lt;&gt;"rumus","SKS","")</f>
        <v/>
      </c>
      <c r="E144" s="256" t="str">
        <f>IF(K144&lt;&gt;"rumus",(IF(OR(AND(L144="sks&gt;10",L143="sks&lt;=10",IFERROR(SUMPRODUCT($I$143:I143,$J$143:J143)&lt;10,FALSE)),AND(L144="sks&gt;10",L143="")),(((10-SUMPRODUCT($I$143:I143,$J$143:J143))&amp;" x "&amp;1)&amp;"
"&amp;(((I144*J144)-(10-SUMPRODUCT($I$143:I143,$J$143:J143)))&amp;" x "&amp;1)),(I144&amp;" x "&amp;J144))),"")</f>
        <v/>
      </c>
      <c r="F144" s="256" t="str">
        <f>IF(K144&lt;&gt;"rumus",(IF(OR(AND(L144="sks&gt;10",L143="sks&lt;=10",IFERROR(SUMPRODUCT($I$143:I143,$J$143:J143)&lt;10,FALSE)),AND(L144="sks&gt;10",L143="")),((IF('LAMPIRAN I DONE'!$F$21="Tenaga Pengajar",0.5,IF(OR('LAMPIRAN I DONE'!$F$21="Asisten Ahli",'LAMPIRAN I DONE'!$F$21="Lektor",'LAMPIRAN I DONE'!$F$21="Lektor Kepala",'LAMPIRAN I DONE'!$F$21="Guru Besar"),1,"")))&amp;"
"&amp;(IF('LAMPIRAN I DONE'!$F$21="Tenaga Pengajar",0.25,IF(OR('LAMPIRAN I DONE'!$F$21="Asisten Ahli",'LAMPIRAN I DONE'!$F$21="Lektor",'LAMPIRAN I DONE'!$F$21="Lektor Kepala",'LAMPIRAN I DONE'!$F$21="Guru Besar"),0.5,"")))),((IF(OR(AND(L144="sks&gt;10",L143="sks&gt;10"),AND(L144="sks&gt;10",L143="sks&lt;=10")),IF('LAMPIRAN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f>
        <v/>
      </c>
      <c r="G144" s="105" t="str">
        <f>IF(K144&lt;&gt;"rumus",(IF(OR(AND(L144="sks&gt;10",L143="sks&lt;=10",IFERROR(SUMPRODUCT($I$143:I143,$J$143:J143)&lt;10,FALSE)),AND(L144="sks&gt;10",L143="")),(((10-SUMPRODUCT($I$143:I143,$J$143:J143))&amp;" x "&amp;1&amp;" x "&amp;IF('LAMPIRAN I DONE'!$F$21="Tenaga Pengajar",0.5,IF(OR('LAMPIRAN I DONE'!$F$21="Asisten Ahli",'LAMPIRAN I DONE'!$F$21="Lektor",'LAMPIRAN I DONE'!$F$21="Lektor Kepala",'LAMPIRAN I DONE'!$F$21="Guru Besar"),1,""))&amp;" = "&amp;((10-SUMPRODUCT($I$143:I143,$J$143:J143))*IF('LAMPIRAN I DONE'!$F$21="Tenaga Pengajar",0.5,IF(OR('LAMPIRAN I DONE'!$F$21="Asisten Ahli",'LAMPIRAN I DONE'!$F$21="Lektor",'LAMPIRAN I DONE'!$F$21="Lektor Kepala",'LAMPIRAN I DONE'!$F$21="Guru Besar"),1,""))))&amp;"
"&amp;(((I144*J144)-(10-SUMPRODUCT($I$143:I143,$J$143:J143)))&amp;" x "&amp;1&amp;" x "&amp;IF('LAMPIRAN I DONE'!$F$21="Tenaga Pengajar",0.25,IF(OR('LAMPIRAN I DONE'!$F$21="Asisten Ahli",'LAMPIRAN I DONE'!$F$21="Lektor",'LAMPIRAN I DONE'!$F$21="Lektor Kepala",'LAMPIRAN I DONE'!$F$21="Guru Besar"),0.5,""))&amp;" = "&amp;(((I144*J144)-(10-SUMPRODUCT($I$143:I143,$J$143:J143)))*IF('LAMPIRAN I DONE'!$F$21="Tenaga Pengajar",0.25,IF(OR('LAMPIRAN I DONE'!$F$21="Asisten Ahli",'LAMPIRAN I DONE'!$F$21="Lektor",'LAMPIRAN I DONE'!$F$21="Lektor Kepala",'LAMPIRAN I DONE'!$F$21="Guru Besar"),0.5,""))))),(I144&amp;" x "&amp;J144&amp;" x "&amp;(IF(OR(AND(L144="sks&gt;10",L143="sks&gt;10"),AND(L144="sks&gt;10",L143="sks&lt;=10")),IF('LAMPIRAN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Besar"),1,""))))&amp;" = "&amp;K144))),"rumus")</f>
        <v>rumus</v>
      </c>
      <c r="H144" s="820" t="s">
        <v>620</v>
      </c>
      <c r="I144" s="34"/>
      <c r="J144" s="34"/>
      <c r="K144" s="27" t="str">
        <f>IF(AND(I144&lt;&gt;"",J144&lt;&gt;""),(IF(OR(AND(L144="sks&gt;10",L143="sks&lt;=10",IFERROR(SUMPRODUCT($I$143:I143,$J$143:J143)&lt;10,FALSE)),AND(L144="sks&gt;10",L143="")),(((10-SUMPRODUCT($I$143:I143,$J$143:J143))*IF('LAMPIRAN I DONE'!$F$21="Tenaga Pengajar",0.5,IF(OR('LAMPIRAN I DONE'!$F$21="Asisten Ahli",'LAMPIRAN I DONE'!$F$21="Lektor",'LAMPIRAN I DONE'!$F$21="Lektor Kepala",'LAMPIRAN I DONE'!$F$21="Guru Besar"),1,"")))+(((I144*J144)-(10-SUMPRODUCT($I$143:I143,$J$143:J143)))*IF('LAMPIRAN I DONE'!$F$21="Tenaga Pengajar",0.25,IF(OR('LAMPIRAN I DONE'!$F$21="Asisten Ahli",'LAMPIRAN I DONE'!$F$21="Lektor",'LAMPIRAN I DONE'!$F$21="Lektor Kepala",'LAMPIRAN I DONE'!$F$21="Guru Besar"),0.5,"")))),IF(OR(AND(L144="sks&gt;10",L143="sks&gt;10"),AND(L144="sks&gt;10",L143="sks&lt;=10")),I144*J144*IF('LAMPIRAN I DONE'!$F$21="Tenaga Pengajar",0.25,IF(OR('LAMPIRAN I DONE'!$F$21="Asisten Ahli",'LAMPIRAN I DONE'!$F$21="Lektor",'LAMPIRAN I DONE'!$F$21="Lektor Kepala",'LAMPIRAN I DONE'!$F$21="Guru Besar"),0.5,"")),I144*J144*IF('LAMPIRAN I DONE'!$F$21="Tenaga Pengajar",0.5,IF(OR('LAMPIRAN I DONE'!$F$21="Asisten Ahli",'LAMPIRAN I DONE'!$F$21="Lektor",'LAMPIRAN I DONE'!$F$21="Lektor Kepala",'LAMPIRAN I DONE'!$F$21="Guru Besar"),1,""))))),"rumus")</f>
        <v>rumus</v>
      </c>
      <c r="L144" s="27" t="str">
        <f>IF(AND(I144&lt;&gt;"",J144&lt;&gt;""),(IF(SUMPRODUCT($I$144:I144,$J$144:J144)&lt;=10,"SKS&lt;=10",IF(SUMPRODUCT($I$144:I144,$J$144:J144)&gt;10,"SKS&gt;10",""))),"rumus")</f>
        <v>rumus</v>
      </c>
    </row>
    <row r="145" spans="1:14" s="2" customFormat="1" ht="25.5" hidden="1" customHeight="1" x14ac:dyDescent="0.45">
      <c r="A145" s="67">
        <v>2</v>
      </c>
      <c r="B145" s="163" t="s">
        <v>81</v>
      </c>
      <c r="C145" s="28" t="s">
        <v>108</v>
      </c>
      <c r="D145" s="28" t="str">
        <f t="shared" ref="D145:D149" si="22">IF(G145&lt;&gt;"rumus","SKS","")</f>
        <v/>
      </c>
      <c r="E145" s="256" t="str">
        <f>IF(K145&lt;&gt;"rumus",(IF(OR(AND(L145="sks&gt;10",L144="sks&lt;=10",IFERROR(SUMPRODUCT($I$143:I144,$J$143:J144)&lt;10,FALSE)),AND(L145="sks&gt;10",L144="")),(((10-SUMPRODUCT($I$143:I144,$J$143:J144))&amp;" x "&amp;1)&amp;"
"&amp;(((I145*J145)-(10-SUMPRODUCT($I$143:I144,$J$143:J144)))&amp;" x "&amp;1)),(I145&amp;" x "&amp;J145))),"")</f>
        <v/>
      </c>
      <c r="F145" s="256" t="str">
        <f>IF(K145&lt;&gt;"rumus",(IF(OR(AND(L145="sks&gt;10",L144="sks&lt;=10",IFERROR(SUMPRODUCT($I$143:I144,$J$143:J144)&lt;10,FALSE)),AND(L145="sks&gt;10",L144="")),((IF('LAMPIRAN I DONE'!$F$21="Tenaga Pengajar",0.5,IF(OR('LAMPIRAN I DONE'!$F$21="Asisten Ahli",'LAMPIRAN I DONE'!$F$21="Lektor",'LAMPIRAN I DONE'!$F$21="Lektor Kepala",'LAMPIRAN I DONE'!$F$21="Guru Besar"),1,"")))&amp;"
"&amp;(IF('LAMPIRAN I DONE'!$F$21="Tenaga Pengajar",0.25,IF(OR('LAMPIRAN I DONE'!$F$21="Asisten Ahli",'LAMPIRAN I DONE'!$F$21="Lektor",'LAMPIRAN I DONE'!$F$21="Lektor Kepala",'LAMPIRAN I DONE'!$F$21="Guru Besar"),0.5,"")))),((IF(OR(AND(L145="sks&gt;10",L144="sks&gt;10"),AND(L145="sks&gt;10",L144="sks&lt;=10")),IF('LAMPIRAN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f>
        <v/>
      </c>
      <c r="G145" s="105" t="str">
        <f>IF(K145&lt;&gt;"rumus",(IF(OR(AND(L145="sks&gt;10",L144="sks&lt;=10",IFERROR(SUMPRODUCT($I$143:I144,$J$143:J144)&lt;10,FALSE)),AND(L145="sks&gt;10",L144="")),(((10-SUMPRODUCT($I$143:I144,$J$143:J144))&amp;" x "&amp;1&amp;" x "&amp;IF('LAMPIRAN I DONE'!$F$21="Tenaga Pengajar",0.5,IF(OR('LAMPIRAN I DONE'!$F$21="Asisten Ahli",'LAMPIRAN I DONE'!$F$21="Lektor",'LAMPIRAN I DONE'!$F$21="Lektor Kepala",'LAMPIRAN I DONE'!$F$21="Guru Besar"),1,""))&amp;" = "&amp;((10-SUMPRODUCT($I$143:I144,$J$143:J144))*IF('LAMPIRAN I DONE'!$F$21="Tenaga Pengajar",0.5,IF(OR('LAMPIRAN I DONE'!$F$21="Asisten Ahli",'LAMPIRAN I DONE'!$F$21="Lektor",'LAMPIRAN I DONE'!$F$21="Lektor Kepala",'LAMPIRAN I DONE'!$F$21="Guru Besar"),1,""))))&amp;"
"&amp;(((I145*J145)-(10-SUMPRODUCT($I$143:I144,$J$143:J144)))&amp;" x "&amp;1&amp;" x "&amp;IF('LAMPIRAN I DONE'!$F$21="Tenaga Pengajar",0.25,IF(OR('LAMPIRAN I DONE'!$F$21="Asisten Ahli",'LAMPIRAN I DONE'!$F$21="Lektor",'LAMPIRAN I DONE'!$F$21="Lektor Kepala",'LAMPIRAN I DONE'!$F$21="Guru Besar"),0.5,""))&amp;" = "&amp;(((I145*J145)-(10-SUMPRODUCT($I$143:I144,$J$143:J144)))*IF('LAMPIRAN I DONE'!$F$21="Tenaga Pengajar",0.25,IF(OR('LAMPIRAN I DONE'!$F$21="Asisten Ahli",'LAMPIRAN I DONE'!$F$21="Lektor",'LAMPIRAN I DONE'!$F$21="Lektor Kepala",'LAMPIRAN I DONE'!$F$21="Guru Besar"),0.5,""))))),(I145&amp;" x "&amp;J145&amp;" x "&amp;(IF(OR(AND(L145="sks&gt;10",L144="sks&gt;10"),AND(L145="sks&gt;10",L144="sks&lt;=10")),IF('LAMPIRAN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Besar"),1,""))))&amp;" = "&amp;K145))),"rumus")</f>
        <v>rumus</v>
      </c>
      <c r="H145" s="820" t="s">
        <v>620</v>
      </c>
      <c r="I145" s="34"/>
      <c r="J145" s="34"/>
      <c r="K145" s="27" t="str">
        <f>IF(AND(I145&lt;&gt;"",J145&lt;&gt;""),(IF(OR(AND(L145="sks&gt;10",L144="sks&lt;=10",IFERROR(SUMPRODUCT($I$143:I144,$J$143:J144)&lt;10,FALSE)),AND(L145="sks&gt;10",L144="")),(((10-SUMPRODUCT($I$143:I144,$J$143:J144))*IF('LAMPIRAN I DONE'!$F$21="Tenaga Pengajar",0.5,IF(OR('LAMPIRAN I DONE'!$F$21="Asisten Ahli",'LAMPIRAN I DONE'!$F$21="Lektor",'LAMPIRAN I DONE'!$F$21="Lektor Kepala",'LAMPIRAN I DONE'!$F$21="Guru Besar"),1,"")))+(((I145*J145)-(10-SUMPRODUCT($I$143:I144,$J$143:J144)))*IF('LAMPIRAN I DONE'!$F$21="Tenaga Pengajar",0.25,IF(OR('LAMPIRAN I DONE'!$F$21="Asisten Ahli",'LAMPIRAN I DONE'!$F$21="Lektor",'LAMPIRAN I DONE'!$F$21="Lektor Kepala",'LAMPIRAN I DONE'!$F$21="Guru Besar"),0.5,"")))),IF(OR(AND(L145="sks&gt;10",L144="sks&gt;10"),AND(L145="sks&gt;10",L144="sks&lt;=10")),I145*J145*IF('LAMPIRAN I DONE'!$F$21="Tenaga Pengajar",0.25,IF(OR('LAMPIRAN I DONE'!$F$21="Asisten Ahli",'LAMPIRAN I DONE'!$F$21="Lektor",'LAMPIRAN I DONE'!$F$21="Lektor Kepala",'LAMPIRAN I DONE'!$F$21="Guru Besar"),0.5,"")),I145*J145*IF('LAMPIRAN I DONE'!$F$21="Tenaga Pengajar",0.5,IF(OR('LAMPIRAN I DONE'!$F$21="Asisten Ahli",'LAMPIRAN I DONE'!$F$21="Lektor",'LAMPIRAN I DONE'!$F$21="Lektor Kepala",'LAMPIRAN I DONE'!$F$21="Guru Besar"),1,""))))),"rumus")</f>
        <v>rumus</v>
      </c>
      <c r="L145" s="27" t="str">
        <f>IF(AND(I145&lt;&gt;"",J145&lt;&gt;""),(IF(SUMPRODUCT($I$144:I145,$J$144:J145)&lt;=10,"SKS&lt;=10",IF(SUMPRODUCT($I$144:I145,$J$144:J145)&gt;10,"SKS&gt;10",""))),"rumus")</f>
        <v>rumus</v>
      </c>
    </row>
    <row r="146" spans="1:14" s="2" customFormat="1" ht="25.5" hidden="1" customHeight="1" x14ac:dyDescent="0.45">
      <c r="A146" s="67">
        <v>3</v>
      </c>
      <c r="B146" s="163" t="s">
        <v>81</v>
      </c>
      <c r="C146" s="28" t="s">
        <v>108</v>
      </c>
      <c r="D146" s="28" t="str">
        <f t="shared" si="22"/>
        <v/>
      </c>
      <c r="E146" s="256" t="str">
        <f>IF(K146&lt;&gt;"rumus",(IF(OR(AND(L146="sks&gt;10",L145="sks&lt;=10",IFERROR(SUMPRODUCT($I$143:I145,$J$143:J145)&lt;10,FALSE)),AND(L146="sks&gt;10",L145="")),(((10-SUMPRODUCT($I$143:I145,$J$143:J145))&amp;" x "&amp;1)&amp;"
"&amp;(((I146*J146)-(10-SUMPRODUCT($I$143:I145,$J$143:J145)))&amp;" x "&amp;1)),(I146&amp;" x "&amp;J146))),"")</f>
        <v/>
      </c>
      <c r="F146" s="256" t="str">
        <f>IF(K146&lt;&gt;"rumus",(IF(OR(AND(L146="sks&gt;10",L145="sks&lt;=10",IFERROR(SUMPRODUCT($I$143:I145,$J$143:J145)&lt;10,FALSE)),AND(L146="sks&gt;10",L145="")),((IF('LAMPIRAN I DONE'!$F$21="Tenaga Pengajar",0.5,IF(OR('LAMPIRAN I DONE'!$F$21="Asisten Ahli",'LAMPIRAN I DONE'!$F$21="Lektor",'LAMPIRAN I DONE'!$F$21="Lektor Kepala",'LAMPIRAN I DONE'!$F$21="Guru Besar"),1,"")))&amp;"
"&amp;(IF('LAMPIRAN I DONE'!$F$21="Tenaga Pengajar",0.25,IF(OR('LAMPIRAN I DONE'!$F$21="Asisten Ahli",'LAMPIRAN I DONE'!$F$21="Lektor",'LAMPIRAN I DONE'!$F$21="Lektor Kepala",'LAMPIRAN I DONE'!$F$21="Guru Besar"),0.5,"")))),((IF(OR(AND(L146="sks&gt;10",L145="sks&gt;10"),AND(L146="sks&gt;10",L145="sks&lt;=10")),IF('LAMPIRAN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f>
        <v/>
      </c>
      <c r="G146" s="105" t="str">
        <f>IF(K146&lt;&gt;"rumus",(IF(OR(AND(L146="sks&gt;10",L145="sks&lt;=10",IFERROR(SUMPRODUCT($I$143:I145,$J$143:J145)&lt;10,FALSE)),AND(L146="sks&gt;10",L145="")),(((10-SUMPRODUCT($I$143:I145,$J$143:J145))&amp;" x "&amp;1&amp;" x "&amp;IF('LAMPIRAN I DONE'!$F$21="Tenaga Pengajar",0.5,IF(OR('LAMPIRAN I DONE'!$F$21="Asisten Ahli",'LAMPIRAN I DONE'!$F$21="Lektor",'LAMPIRAN I DONE'!$F$21="Lektor Kepala",'LAMPIRAN I DONE'!$F$21="Guru Besar"),1,""))&amp;" = "&amp;((10-SUMPRODUCT($I$143:I145,$J$143:J145))*IF('LAMPIRAN I DONE'!$F$21="Tenaga Pengajar",0.5,IF(OR('LAMPIRAN I DONE'!$F$21="Asisten Ahli",'LAMPIRAN I DONE'!$F$21="Lektor",'LAMPIRAN I DONE'!$F$21="Lektor Kepala",'LAMPIRAN I DONE'!$F$21="Guru Besar"),1,""))))&amp;"
"&amp;(((I146*J146)-(10-SUMPRODUCT($I$143:I145,$J$143:J145)))&amp;" x "&amp;1&amp;" x "&amp;IF('LAMPIRAN I DONE'!$F$21="Tenaga Pengajar",0.25,IF(OR('LAMPIRAN I DONE'!$F$21="Asisten Ahli",'LAMPIRAN I DONE'!$F$21="Lektor",'LAMPIRAN I DONE'!$F$21="Lektor Kepala",'LAMPIRAN I DONE'!$F$21="Guru Besar"),0.5,""))&amp;" = "&amp;(((I146*J146)-(10-SUMPRODUCT($I$143:I145,$J$143:J145)))*IF('LAMPIRAN I DONE'!$F$21="Tenaga Pengajar",0.25,IF(OR('LAMPIRAN I DONE'!$F$21="Asisten Ahli",'LAMPIRAN I DONE'!$F$21="Lektor",'LAMPIRAN I DONE'!$F$21="Lektor Kepala",'LAMPIRAN I DONE'!$F$21="Guru Besar"),0.5,""))))),(I146&amp;" x "&amp;J146&amp;" x "&amp;(IF(OR(AND(L146="sks&gt;10",L145="sks&gt;10"),AND(L146="sks&gt;10",L145="sks&lt;=10")),IF('LAMPIRAN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Besar"),1,""))))&amp;" = "&amp;K146))),"rumus")</f>
        <v>rumus</v>
      </c>
      <c r="H146" s="820" t="s">
        <v>620</v>
      </c>
      <c r="I146" s="34"/>
      <c r="J146" s="34"/>
      <c r="K146" s="27" t="str">
        <f>IF(AND(I146&lt;&gt;"",J146&lt;&gt;""),(IF(OR(AND(L146="sks&gt;10",L145="sks&lt;=10",IFERROR(SUMPRODUCT($I$143:I145,$J$143:J145)&lt;10,FALSE)),AND(L146="sks&gt;10",L145="")),(((10-SUMPRODUCT($I$143:I145,$J$143:J145))*IF('LAMPIRAN I DONE'!$F$21="Tenaga Pengajar",0.5,IF(OR('LAMPIRAN I DONE'!$F$21="Asisten Ahli",'LAMPIRAN I DONE'!$F$21="Lektor",'LAMPIRAN I DONE'!$F$21="Lektor Kepala",'LAMPIRAN I DONE'!$F$21="Guru Besar"),1,"")))+(((I146*J146)-(10-SUMPRODUCT($I$143:I145,$J$143:J145)))*IF('LAMPIRAN I DONE'!$F$21="Tenaga Pengajar",0.25,IF(OR('LAMPIRAN I DONE'!$F$21="Asisten Ahli",'LAMPIRAN I DONE'!$F$21="Lektor",'LAMPIRAN I DONE'!$F$21="Lektor Kepala",'LAMPIRAN I DONE'!$F$21="Guru Besar"),0.5,"")))),IF(OR(AND(L146="sks&gt;10",L145="sks&gt;10"),AND(L146="sks&gt;10",L145="sks&lt;=10")),I146*J146*IF('LAMPIRAN I DONE'!$F$21="Tenaga Pengajar",0.25,IF(OR('LAMPIRAN I DONE'!$F$21="Asisten Ahli",'LAMPIRAN I DONE'!$F$21="Lektor",'LAMPIRAN I DONE'!$F$21="Lektor Kepala",'LAMPIRAN I DONE'!$F$21="Guru Besar"),0.5,"")),I146*J146*IF('LAMPIRAN I DONE'!$F$21="Tenaga Pengajar",0.5,IF(OR('LAMPIRAN I DONE'!$F$21="Asisten Ahli",'LAMPIRAN I DONE'!$F$21="Lektor",'LAMPIRAN I DONE'!$F$21="Lektor Kepala",'LAMPIRAN I DONE'!$F$21="Guru Besar"),1,""))))),"rumus")</f>
        <v>rumus</v>
      </c>
      <c r="L146" s="27" t="str">
        <f>IF(AND(I146&lt;&gt;"",J146&lt;&gt;""),(IF(SUMPRODUCT($I$144:I146,$J$144:J146)&lt;=10,"SKS&lt;=10",IF(SUMPRODUCT($I$144:I146,$J$144:J146)&gt;10,"SKS&gt;10",""))),"rumus")</f>
        <v>rumus</v>
      </c>
    </row>
    <row r="147" spans="1:14" s="2" customFormat="1" ht="25.5" hidden="1" customHeight="1" x14ac:dyDescent="0.45">
      <c r="A147" s="67">
        <v>4</v>
      </c>
      <c r="B147" s="163" t="s">
        <v>81</v>
      </c>
      <c r="C147" s="28" t="s">
        <v>108</v>
      </c>
      <c r="D147" s="28" t="str">
        <f t="shared" si="22"/>
        <v/>
      </c>
      <c r="E147" s="256" t="str">
        <f>IF(K147&lt;&gt;"rumus",(IF(OR(AND(L147="sks&gt;10",L146="sks&lt;=10",IFERROR(SUMPRODUCT($I$143:I146,$J$143:J146)&lt;10,FALSE)),AND(L147="sks&gt;10",L146="")),(((10-SUMPRODUCT($I$143:I146,$J$143:J146))&amp;" x "&amp;1)&amp;"
"&amp;(((I147*J147)-(10-SUMPRODUCT($I$143:I146,$J$143:J146)))&amp;" x "&amp;1)),(I147&amp;" x "&amp;J147))),"")</f>
        <v/>
      </c>
      <c r="F147" s="256" t="str">
        <f>IF(K147&lt;&gt;"rumus",(IF(OR(AND(L147="sks&gt;10",L146="sks&lt;=10",IFERROR(SUMPRODUCT($I$143:I146,$J$143:J146)&lt;10,FALSE)),AND(L147="sks&gt;10",L146="")),((IF('LAMPIRAN I DONE'!$F$21="Tenaga Pengajar",0.5,IF(OR('LAMPIRAN I DONE'!$F$21="Asisten Ahli",'LAMPIRAN I DONE'!$F$21="Lektor",'LAMPIRAN I DONE'!$F$21="Lektor Kepala",'LAMPIRAN I DONE'!$F$21="Guru Besar"),1,"")))&amp;"
"&amp;(IF('LAMPIRAN I DONE'!$F$21="Tenaga Pengajar",0.25,IF(OR('LAMPIRAN I DONE'!$F$21="Asisten Ahli",'LAMPIRAN I DONE'!$F$21="Lektor",'LAMPIRAN I DONE'!$F$21="Lektor Kepala",'LAMPIRAN I DONE'!$F$21="Guru Besar"),0.5,"")))),((IF(OR(AND(L147="sks&gt;10",L146="sks&gt;10"),AND(L147="sks&gt;10",L146="sks&lt;=10")),IF('LAMPIRAN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f>
        <v/>
      </c>
      <c r="G147" s="105" t="str">
        <f>IF(K147&lt;&gt;"rumus",(IF(OR(AND(L147="sks&gt;10",L146="sks&lt;=10",IFERROR(SUMPRODUCT($I$143:I146,$J$143:J146)&lt;10,FALSE)),AND(L147="sks&gt;10",L146="")),(((10-SUMPRODUCT($I$143:I146,$J$143:J146))&amp;" x "&amp;1&amp;" x "&amp;IF('LAMPIRAN I DONE'!$F$21="Tenaga Pengajar",0.5,IF(OR('LAMPIRAN I DONE'!$F$21="Asisten Ahli",'LAMPIRAN I DONE'!$F$21="Lektor",'LAMPIRAN I DONE'!$F$21="Lektor Kepala",'LAMPIRAN I DONE'!$F$21="Guru Besar"),1,""))&amp;" = "&amp;((10-SUMPRODUCT($I$143:I146,$J$143:J146))*IF('LAMPIRAN I DONE'!$F$21="Tenaga Pengajar",0.5,IF(OR('LAMPIRAN I DONE'!$F$21="Asisten Ahli",'LAMPIRAN I DONE'!$F$21="Lektor",'LAMPIRAN I DONE'!$F$21="Lektor Kepala",'LAMPIRAN I DONE'!$F$21="Guru Besar"),1,""))))&amp;"
"&amp;(((I147*J147)-(10-SUMPRODUCT($I$143:I146,$J$143:J146)))&amp;" x "&amp;1&amp;" x "&amp;IF('LAMPIRAN I DONE'!$F$21="Tenaga Pengajar",0.25,IF(OR('LAMPIRAN I DONE'!$F$21="Asisten Ahli",'LAMPIRAN I DONE'!$F$21="Lektor",'LAMPIRAN I DONE'!$F$21="Lektor Kepala",'LAMPIRAN I DONE'!$F$21="Guru Besar"),0.5,""))&amp;" = "&amp;(((I147*J147)-(10-SUMPRODUCT($I$143:I146,$J$143:J146)))*IF('LAMPIRAN I DONE'!$F$21="Tenaga Pengajar",0.25,IF(OR('LAMPIRAN I DONE'!$F$21="Asisten Ahli",'LAMPIRAN I DONE'!$F$21="Lektor",'LAMPIRAN I DONE'!$F$21="Lektor Kepala",'LAMPIRAN I DONE'!$F$21="Guru Besar"),0.5,""))))),(I147&amp;" x "&amp;J147&amp;" x "&amp;(IF(OR(AND(L147="sks&gt;10",L146="sks&gt;10"),AND(L147="sks&gt;10",L146="sks&lt;=10")),IF('LAMPIRAN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Besar"),1,""))))&amp;" = "&amp;K147))),"rumus")</f>
        <v>rumus</v>
      </c>
      <c r="H147" s="820" t="s">
        <v>620</v>
      </c>
      <c r="I147" s="34"/>
      <c r="J147" s="34"/>
      <c r="K147" s="27" t="str">
        <f>IF(AND(I147&lt;&gt;"",J147&lt;&gt;""),(IF(OR(AND(L147="sks&gt;10",L146="sks&lt;=10",IFERROR(SUMPRODUCT($I$143:I146,$J$143:J146)&lt;10,FALSE)),AND(L147="sks&gt;10",L146="")),(((10-SUMPRODUCT($I$143:I146,$J$143:J146))*IF('LAMPIRAN I DONE'!$F$21="Tenaga Pengajar",0.5,IF(OR('LAMPIRAN I DONE'!$F$21="Asisten Ahli",'LAMPIRAN I DONE'!$F$21="Lektor",'LAMPIRAN I DONE'!$F$21="Lektor Kepala",'LAMPIRAN I DONE'!$F$21="Guru Besar"),1,"")))+(((I147*J147)-(10-SUMPRODUCT($I$143:I146,$J$143:J146)))*IF('LAMPIRAN I DONE'!$F$21="Tenaga Pengajar",0.25,IF(OR('LAMPIRAN I DONE'!$F$21="Asisten Ahli",'LAMPIRAN I DONE'!$F$21="Lektor",'LAMPIRAN I DONE'!$F$21="Lektor Kepala",'LAMPIRAN I DONE'!$F$21="Guru Besar"),0.5,"")))),IF(OR(AND(L147="sks&gt;10",L146="sks&gt;10"),AND(L147="sks&gt;10",L146="sks&lt;=10")),I147*J147*IF('LAMPIRAN I DONE'!$F$21="Tenaga Pengajar",0.25,IF(OR('LAMPIRAN I DONE'!$F$21="Asisten Ahli",'LAMPIRAN I DONE'!$F$21="Lektor",'LAMPIRAN I DONE'!$F$21="Lektor Kepala",'LAMPIRAN I DONE'!$F$21="Guru Besar"),0.5,"")),I147*J147*IF('LAMPIRAN I DONE'!$F$21="Tenaga Pengajar",0.5,IF(OR('LAMPIRAN I DONE'!$F$21="Asisten Ahli",'LAMPIRAN I DONE'!$F$21="Lektor",'LAMPIRAN I DONE'!$F$21="Lektor Kepala",'LAMPIRAN I DONE'!$F$21="Guru Besar"),1,""))))),"rumus")</f>
        <v>rumus</v>
      </c>
      <c r="L147" s="27" t="str">
        <f>IF(AND(I147&lt;&gt;"",J147&lt;&gt;""),(IF(SUMPRODUCT($I$144:I147,$J$144:J147)&lt;=10,"SKS&lt;=10",IF(SUMPRODUCT($I$144:I147,$J$144:J147)&gt;10,"SKS&gt;10",""))),"rumus")</f>
        <v>rumus</v>
      </c>
    </row>
    <row r="148" spans="1:14" s="2" customFormat="1" ht="25.5" hidden="1" customHeight="1" x14ac:dyDescent="0.45">
      <c r="A148" s="67">
        <v>5</v>
      </c>
      <c r="B148" s="163" t="s">
        <v>81</v>
      </c>
      <c r="C148" s="28" t="s">
        <v>108</v>
      </c>
      <c r="D148" s="28" t="str">
        <f t="shared" si="22"/>
        <v/>
      </c>
      <c r="E148" s="256" t="str">
        <f>IF(K148&lt;&gt;"rumus",(IF(OR(AND(L148="sks&gt;10",L147="sks&lt;=10",IFERROR(SUMPRODUCT($I$143:I147,$J$143:J147)&lt;10,FALSE)),AND(L148="sks&gt;10",L147="")),(((10-SUMPRODUCT($I$143:I147,$J$143:J147))&amp;" x "&amp;1)&amp;"
"&amp;(((I148*J148)-(10-SUMPRODUCT($I$143:I147,$J$143:J147)))&amp;" x "&amp;1)),(I148&amp;" x "&amp;J148))),"")</f>
        <v/>
      </c>
      <c r="F148" s="256" t="str">
        <f>IF(K148&lt;&gt;"rumus",(IF(OR(AND(L148="sks&gt;10",L147="sks&lt;=10",IFERROR(SUMPRODUCT($I$143:I147,$J$143:J147)&lt;10,FALSE)),AND(L148="sks&gt;10",L147="")),((IF('LAMPIRAN I DONE'!$F$21="Tenaga Pengajar",0.5,IF(OR('LAMPIRAN I DONE'!$F$21="Asisten Ahli",'LAMPIRAN I DONE'!$F$21="Lektor",'LAMPIRAN I DONE'!$F$21="Lektor Kepala",'LAMPIRAN I DONE'!$F$21="Guru Besar"),1,"")))&amp;"
"&amp;(IF('LAMPIRAN I DONE'!$F$21="Tenaga Pengajar",0.25,IF(OR('LAMPIRAN I DONE'!$F$21="Asisten Ahli",'LAMPIRAN I DONE'!$F$21="Lektor",'LAMPIRAN I DONE'!$F$21="Lektor Kepala",'LAMPIRAN I DONE'!$F$21="Guru Besar"),0.5,"")))),((IF(OR(AND(L148="sks&gt;10",L147="sks&gt;10"),AND(L148="sks&gt;10",L147="sks&lt;=10")),IF('LAMPIRAN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f>
        <v/>
      </c>
      <c r="G148" s="105" t="str">
        <f>IF(K148&lt;&gt;"rumus",(IF(OR(AND(L148="sks&gt;10",L147="sks&lt;=10",IFERROR(SUMPRODUCT($I$143:I147,$J$143:J147)&lt;10,FALSE)),AND(L148="sks&gt;10",L147="")),(((10-SUMPRODUCT($I$143:I147,$J$143:J147))&amp;" x "&amp;1&amp;" x "&amp;IF('LAMPIRAN I DONE'!$F$21="Tenaga Pengajar",0.5,IF(OR('LAMPIRAN I DONE'!$F$21="Asisten Ahli",'LAMPIRAN I DONE'!$F$21="Lektor",'LAMPIRAN I DONE'!$F$21="Lektor Kepala",'LAMPIRAN I DONE'!$F$21="Guru Besar"),1,""))&amp;" = "&amp;((10-SUMPRODUCT($I$143:I147,$J$143:J147))*IF('LAMPIRAN I DONE'!$F$21="Tenaga Pengajar",0.5,IF(OR('LAMPIRAN I DONE'!$F$21="Asisten Ahli",'LAMPIRAN I DONE'!$F$21="Lektor",'LAMPIRAN I DONE'!$F$21="Lektor Kepala",'LAMPIRAN I DONE'!$F$21="Guru Besar"),1,""))))&amp;"
"&amp;(((I148*J148)-(10-SUMPRODUCT($I$143:I147,$J$143:J147)))&amp;" x "&amp;1&amp;" x "&amp;IF('LAMPIRAN I DONE'!$F$21="Tenaga Pengajar",0.25,IF(OR('LAMPIRAN I DONE'!$F$21="Asisten Ahli",'LAMPIRAN I DONE'!$F$21="Lektor",'LAMPIRAN I DONE'!$F$21="Lektor Kepala",'LAMPIRAN I DONE'!$F$21="Guru Besar"),0.5,""))&amp;" = "&amp;(((I148*J148)-(10-SUMPRODUCT($I$143:I147,$J$143:J147)))*IF('LAMPIRAN I DONE'!$F$21="Tenaga Pengajar",0.25,IF(OR('LAMPIRAN I DONE'!$F$21="Asisten Ahli",'LAMPIRAN I DONE'!$F$21="Lektor",'LAMPIRAN I DONE'!$F$21="Lektor Kepala",'LAMPIRAN I DONE'!$F$21="Guru Besar"),0.5,""))))),(I148&amp;" x "&amp;J148&amp;" x "&amp;(IF(OR(AND(L148="sks&gt;10",L147="sks&gt;10"),AND(L148="sks&gt;10",L147="sks&lt;=10")),IF('LAMPIRAN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Besar"),1,""))))&amp;" = "&amp;K148))),"rumus")</f>
        <v>rumus</v>
      </c>
      <c r="H148" s="820" t="s">
        <v>620</v>
      </c>
      <c r="I148" s="34"/>
      <c r="J148" s="34"/>
      <c r="K148" s="27" t="str">
        <f>IF(AND(I148&lt;&gt;"",J148&lt;&gt;""),(IF(OR(AND(L148="sks&gt;10",L147="sks&lt;=10",IFERROR(SUMPRODUCT($I$143:I147,$J$143:J147)&lt;10,FALSE)),AND(L148="sks&gt;10",L147="")),(((10-SUMPRODUCT($I$143:I147,$J$143:J147))*IF('LAMPIRAN I DONE'!$F$21="Tenaga Pengajar",0.5,IF(OR('LAMPIRAN I DONE'!$F$21="Asisten Ahli",'LAMPIRAN I DONE'!$F$21="Lektor",'LAMPIRAN I DONE'!$F$21="Lektor Kepala",'LAMPIRAN I DONE'!$F$21="Guru Besar"),1,"")))+(((I148*J148)-(10-SUMPRODUCT($I$143:I147,$J$143:J147)))*IF('LAMPIRAN I DONE'!$F$21="Tenaga Pengajar",0.25,IF(OR('LAMPIRAN I DONE'!$F$21="Asisten Ahli",'LAMPIRAN I DONE'!$F$21="Lektor",'LAMPIRAN I DONE'!$F$21="Lektor Kepala",'LAMPIRAN I DONE'!$F$21="Guru Besar"),0.5,"")))),IF(OR(AND(L148="sks&gt;10",L147="sks&gt;10"),AND(L148="sks&gt;10",L147="sks&lt;=10")),I148*J148*IF('LAMPIRAN I DONE'!$F$21="Tenaga Pengajar",0.25,IF(OR('LAMPIRAN I DONE'!$F$21="Asisten Ahli",'LAMPIRAN I DONE'!$F$21="Lektor",'LAMPIRAN I DONE'!$F$21="Lektor Kepala",'LAMPIRAN I DONE'!$F$21="Guru Besar"),0.5,"")),I148*J148*IF('LAMPIRAN I DONE'!$F$21="Tenaga Pengajar",0.5,IF(OR('LAMPIRAN I DONE'!$F$21="Asisten Ahli",'LAMPIRAN I DONE'!$F$21="Lektor",'LAMPIRAN I DONE'!$F$21="Lektor Kepala",'LAMPIRAN I DONE'!$F$21="Guru Besar"),1,""))))),"rumus")</f>
        <v>rumus</v>
      </c>
      <c r="L148" s="27" t="str">
        <f>IF(AND(I148&lt;&gt;"",J148&lt;&gt;""),(IF(SUMPRODUCT($I$144:I148,$J$144:J148)&lt;=10,"SKS&lt;=10",IF(SUMPRODUCT($I$144:I148,$J$144:J148)&gt;10,"SKS&gt;10",""))),"rumus")</f>
        <v>rumus</v>
      </c>
    </row>
    <row r="149" spans="1:14" s="2" customFormat="1" ht="25.5" hidden="1" customHeight="1" x14ac:dyDescent="0.45">
      <c r="A149" s="67">
        <v>6</v>
      </c>
      <c r="B149" s="163" t="s">
        <v>81</v>
      </c>
      <c r="C149" s="28" t="s">
        <v>108</v>
      </c>
      <c r="D149" s="28" t="str">
        <f t="shared" si="22"/>
        <v/>
      </c>
      <c r="E149" s="256" t="str">
        <f>IF(K149&lt;&gt;"rumus",(IF(OR(AND(L149="sks&gt;10",L148="sks&lt;=10",IFERROR(SUMPRODUCT($I$143:I148,$J$143:J148)&lt;10,FALSE)),AND(L149="sks&gt;10",L148="")),(((10-SUMPRODUCT($I$143:I148,$J$143:J148))&amp;" x "&amp;1)&amp;"
"&amp;(((I149*J149)-(10-SUMPRODUCT($I$143:I148,$J$143:J148)))&amp;" x "&amp;1)),(I149&amp;" x "&amp;J149))),"")</f>
        <v/>
      </c>
      <c r="F149" s="256" t="str">
        <f>IF(K149&lt;&gt;"rumus",(IF(OR(AND(L149="sks&gt;10",L148="sks&lt;=10",IFERROR(SUMPRODUCT($I$143:I148,$J$143:J148)&lt;10,FALSE)),AND(L149="sks&gt;10",L148="")),((IF('LAMPIRAN I DONE'!$F$21="Tenaga Pengajar",0.5,IF(OR('LAMPIRAN I DONE'!$F$21="Asisten Ahli",'LAMPIRAN I DONE'!$F$21="Lektor",'LAMPIRAN I DONE'!$F$21="Lektor Kepala",'LAMPIRAN I DONE'!$F$21="Guru Besar"),1,"")))&amp;"
"&amp;(IF('LAMPIRAN I DONE'!$F$21="Tenaga Pengajar",0.25,IF(OR('LAMPIRAN I DONE'!$F$21="Asisten Ahli",'LAMPIRAN I DONE'!$F$21="Lektor",'LAMPIRAN I DONE'!$F$21="Lektor Kepala",'LAMPIRAN I DONE'!$F$21="Guru Besar"),0.5,"")))),((IF(OR(AND(L149="sks&gt;10",L148="sks&gt;10"),AND(L149="sks&gt;10",L148="sks&lt;=10")),IF('LAMPIRAN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f>
        <v/>
      </c>
      <c r="G149" s="105" t="str">
        <f>IF(K149&lt;&gt;"rumus",(IF(OR(AND(L149="sks&gt;10",L148="sks&lt;=10",IFERROR(SUMPRODUCT($I$143:I148,$J$143:J148)&lt;10,FALSE)),AND(L149="sks&gt;10",L148="")),(((10-SUMPRODUCT($I$143:I148,$J$143:J148))&amp;" x "&amp;1&amp;" x "&amp;IF('LAMPIRAN I DONE'!$F$21="Tenaga Pengajar",0.5,IF(OR('LAMPIRAN I DONE'!$F$21="Asisten Ahli",'LAMPIRAN I DONE'!$F$21="Lektor",'LAMPIRAN I DONE'!$F$21="Lektor Kepala",'LAMPIRAN I DONE'!$F$21="Guru Besar"),1,""))&amp;" = "&amp;((10-SUMPRODUCT($I$143:I148,$J$143:J148))*IF('LAMPIRAN I DONE'!$F$21="Tenaga Pengajar",0.5,IF(OR('LAMPIRAN I DONE'!$F$21="Asisten Ahli",'LAMPIRAN I DONE'!$F$21="Lektor",'LAMPIRAN I DONE'!$F$21="Lektor Kepala",'LAMPIRAN I DONE'!$F$21="Guru Besar"),1,""))))&amp;"
"&amp;(((I149*J149)-(10-SUMPRODUCT($I$143:I148,$J$143:J148)))&amp;" x "&amp;1&amp;" x "&amp;IF('LAMPIRAN I DONE'!$F$21="Tenaga Pengajar",0.25,IF(OR('LAMPIRAN I DONE'!$F$21="Asisten Ahli",'LAMPIRAN I DONE'!$F$21="Lektor",'LAMPIRAN I DONE'!$F$21="Lektor Kepala",'LAMPIRAN I DONE'!$F$21="Guru Besar"),0.5,""))&amp;" = "&amp;(((I149*J149)-(10-SUMPRODUCT($I$143:I148,$J$143:J148)))*IF('LAMPIRAN I DONE'!$F$21="Tenaga Pengajar",0.25,IF(OR('LAMPIRAN I DONE'!$F$21="Asisten Ahli",'LAMPIRAN I DONE'!$F$21="Lektor",'LAMPIRAN I DONE'!$F$21="Lektor Kepala",'LAMPIRAN I DONE'!$F$21="Guru Besar"),0.5,""))))),(I149&amp;" x "&amp;J149&amp;" x "&amp;(IF(OR(AND(L149="sks&gt;10",L148="sks&gt;10"),AND(L149="sks&gt;10",L148="sks&lt;=10")),IF('LAMPIRAN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Besar"),1,""))))&amp;" = "&amp;K149))),"rumus")</f>
        <v>rumus</v>
      </c>
      <c r="H149" s="820" t="s">
        <v>620</v>
      </c>
      <c r="I149" s="34"/>
      <c r="J149" s="34"/>
      <c r="K149" s="27" t="str">
        <f>IF(AND(I149&lt;&gt;"",J149&lt;&gt;""),(IF(OR(AND(L149="sks&gt;10",L148="sks&lt;=10",IFERROR(SUMPRODUCT($I$143:I148,$J$143:J148)&lt;10,FALSE)),AND(L149="sks&gt;10",L148="")),(((10-SUMPRODUCT($I$143:I148,$J$143:J148))*IF('LAMPIRAN I DONE'!$F$21="Tenaga Pengajar",0.5,IF(OR('LAMPIRAN I DONE'!$F$21="Asisten Ahli",'LAMPIRAN I DONE'!$F$21="Lektor",'LAMPIRAN I DONE'!$F$21="Lektor Kepala",'LAMPIRAN I DONE'!$F$21="Guru Besar"),1,"")))+(((I149*J149)-(10-SUMPRODUCT($I$143:I148,$J$143:J148)))*IF('LAMPIRAN I DONE'!$F$21="Tenaga Pengajar",0.25,IF(OR('LAMPIRAN I DONE'!$F$21="Asisten Ahli",'LAMPIRAN I DONE'!$F$21="Lektor",'LAMPIRAN I DONE'!$F$21="Lektor Kepala",'LAMPIRAN I DONE'!$F$21="Guru Besar"),0.5,"")))),IF(OR(AND(L149="sks&gt;10",L148="sks&gt;10"),AND(L149="sks&gt;10",L148="sks&lt;=10")),I149*J149*IF('LAMPIRAN I DONE'!$F$21="Tenaga Pengajar",0.25,IF(OR('LAMPIRAN I DONE'!$F$21="Asisten Ahli",'LAMPIRAN I DONE'!$F$21="Lektor",'LAMPIRAN I DONE'!$F$21="Lektor Kepala",'LAMPIRAN I DONE'!$F$21="Guru Besar"),0.5,"")),I149*J149*IF('LAMPIRAN I DONE'!$F$21="Tenaga Pengajar",0.5,IF(OR('LAMPIRAN I DONE'!$F$21="Asisten Ahli",'LAMPIRAN I DONE'!$F$21="Lektor",'LAMPIRAN I DONE'!$F$21="Lektor Kepala",'LAMPIRAN I DONE'!$F$21="Guru Besar"),1,""))))),"rumus")</f>
        <v>rumus</v>
      </c>
      <c r="L149" s="27" t="str">
        <f>IF(AND(I149&lt;&gt;"",J149&lt;&gt;""),(IF(SUMPRODUCT($I$144:I149,$J$144:J149)&lt;=10,"SKS&lt;=10",IF(SUMPRODUCT($I$144:I149,$J$144:J149)&gt;10,"SKS&gt;10",""))),"rumus")</f>
        <v>rumus</v>
      </c>
    </row>
    <row r="150" spans="1:14" s="2" customFormat="1" ht="15" hidden="1" customHeight="1" x14ac:dyDescent="0.45">
      <c r="A150" s="67"/>
      <c r="B150" s="168" t="str">
        <f>"b. Semester Genap "&amp;IF(C151&lt;&gt;"",C151,"")&amp;" :"</f>
        <v>b. Semester Genap 2011/2012 :</v>
      </c>
      <c r="C150" s="111"/>
      <c r="D150" s="111"/>
      <c r="E150" s="111"/>
      <c r="F150" s="111"/>
      <c r="G150" s="111"/>
      <c r="H150" s="112"/>
      <c r="I150" s="496"/>
      <c r="J150" s="496"/>
      <c r="K150" s="109"/>
      <c r="L150" s="109"/>
      <c r="M150" s="104">
        <f>IF((AND(N150="Max 5,5",SUM(K144:K149)&lt;=5.5)),SUM(K144:K149),IF((AND(N150="Max 5,5",SUM(K144:K149)&gt;5.5)),5.5,IF((AND(N150="Max 11",SUM(K144:K149)&lt;=11)),SUM(K144:K149),IF((AND(N150="Max 11",SUM(K144:K149)&gt;11)),11,""))))</f>
        <v>0</v>
      </c>
      <c r="N150" s="33" t="str">
        <f>IF('LAMPIRAN I DONE'!$F$21="Tenaga Pengajar","Max 5,5",IF(OR('LAMPIRAN I DONE'!$F$21="Asisten Ahli",'LAMPIRAN I DONE'!$F$21="Lektor",'LAMPIRAN I DONE'!$F$21="Lektor Kepala",'LAMPIRAN I DONE'!$F$21="Guru Besar"),"Max 11",""))</f>
        <v>Max 11</v>
      </c>
    </row>
    <row r="151" spans="1:14" s="2" customFormat="1" ht="25.5" hidden="1" customHeight="1" x14ac:dyDescent="0.45">
      <c r="A151" s="67">
        <v>1</v>
      </c>
      <c r="B151" s="163" t="s">
        <v>81</v>
      </c>
      <c r="C151" s="28" t="s">
        <v>112</v>
      </c>
      <c r="D151" s="28" t="str">
        <f>IF(G151&lt;&gt;"rumus","SKS","")</f>
        <v/>
      </c>
      <c r="E151" s="256" t="str">
        <f>IF(K151&lt;&gt;"rumus",(IF(OR(AND(L151="sks&gt;10",L150="sks&lt;=10",IFERROR(SUMPRODUCT($I$150:I150,$J$150:J150)&lt;10,FALSE)),AND(L151="sks&gt;10",L150="")),(((10-SUMPRODUCT($I$150:I150,$J$150:J150))&amp;" x "&amp;1)&amp;"
"&amp;(((I151*J151)-(10-SUMPRODUCT($I$150:I150,$J$150:J150)))&amp;" x "&amp;1)),(I151&amp;" x "&amp;J151))),"")</f>
        <v/>
      </c>
      <c r="F151" s="256" t="str">
        <f>IF(K151&lt;&gt;"rumus",(IF(OR(AND(L151="sks&gt;10",L150="sks&lt;=10",IFERROR(SUMPRODUCT($I$150:I150,$J$150:J150)&lt;10,FALSE)),AND(L151="sks&gt;10",L150="")),((IF('LAMPIRAN I DONE'!$F$21="Tenaga Pengajar",0.5,IF(OR('LAMPIRAN I DONE'!$F$21="Asisten Ahli",'LAMPIRAN I DONE'!$F$21="Lektor",'LAMPIRAN I DONE'!$F$21="Lektor Kepala",'LAMPIRAN I DONE'!$F$21="Guru Besar"),1,"")))&amp;"
"&amp;(IF('LAMPIRAN I DONE'!$F$21="Tenaga Pengajar",0.25,IF(OR('LAMPIRAN I DONE'!$F$21="Asisten Ahli",'LAMPIRAN I DONE'!$F$21="Lektor",'LAMPIRAN I DONE'!$F$21="Lektor Kepala",'LAMPIRAN I DONE'!$F$21="Guru Besar"),0.5,"")))),((IF(OR(AND(L151="sks&gt;10",L150="sks&gt;10"),AND(L151="sks&gt;10",L150="sks&lt;=10")),IF('LAMPIRAN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f>
        <v/>
      </c>
      <c r="G151" s="105" t="str">
        <f>IF(K151&lt;&gt;"rumus",(IF(OR(AND(L151="sks&gt;10",L150="sks&lt;=10",IFERROR(SUMPRODUCT($I$150:I150,$J$150:J150)&lt;10,FALSE)),AND(L151="sks&gt;10",L150="")),(((10-SUMPRODUCT($I$150:I150,$J$150:J150))&amp;" x "&amp;1&amp;" x "&amp;IF('LAMPIRAN I DONE'!$F$21="Tenaga Pengajar",0.5,IF(OR('LAMPIRAN I DONE'!$F$21="Asisten Ahli",'LAMPIRAN I DONE'!$F$21="Lektor",'LAMPIRAN I DONE'!$F$21="Lektor Kepala",'LAMPIRAN I DONE'!$F$21="Guru Besar"),1,""))&amp;" = "&amp;((10-SUMPRODUCT($I$150:I150,$J$150:J150))*IF('LAMPIRAN I DONE'!$F$21="Tenaga Pengajar",0.5,IF(OR('LAMPIRAN I DONE'!$F$21="Asisten Ahli",'LAMPIRAN I DONE'!$F$21="Lektor",'LAMPIRAN I DONE'!$F$21="Lektor Kepala",'LAMPIRAN I DONE'!$F$21="Guru Besar"),1,""))))&amp;"
"&amp;(((I151*J151)-(10-SUMPRODUCT($I$150:I150,$J$150:J150)))&amp;" x "&amp;1&amp;" x "&amp;IF('LAMPIRAN I DONE'!$F$21="Tenaga Pengajar",0.25,IF(OR('LAMPIRAN I DONE'!$F$21="Asisten Ahli",'LAMPIRAN I DONE'!$F$21="Lektor",'LAMPIRAN I DONE'!$F$21="Lektor Kepala",'LAMPIRAN I DONE'!$F$21="Guru Besar"),0.5,""))&amp;" = "&amp;(((I151*J151)-(10-SUMPRODUCT($I$150:I150,$J$150:J150)))*IF('LAMPIRAN I DONE'!$F$21="Tenaga Pengajar",0.25,IF(OR('LAMPIRAN I DONE'!$F$21="Asisten Ahli",'LAMPIRAN I DONE'!$F$21="Lektor",'LAMPIRAN I DONE'!$F$21="Lektor Kepala",'LAMPIRAN I DONE'!$F$21="Guru Besar"),0.5,""))))),(I151&amp;" x "&amp;J151&amp;" x "&amp;(IF(OR(AND(L151="sks&gt;10",L150="sks&gt;10"),AND(L151="sks&gt;10",L150="sks&lt;=10")),IF('LAMPIRAN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Besar"),1,""))))&amp;" = "&amp;K151))),"rumus")</f>
        <v>rumus</v>
      </c>
      <c r="H151" s="820" t="s">
        <v>620</v>
      </c>
      <c r="I151" s="34"/>
      <c r="J151" s="34"/>
      <c r="K151" s="27" t="str">
        <f>IF(AND(I151&lt;&gt;"",J151&lt;&gt;""),(IF(OR(AND(L151="sks&gt;10",L150="sks&lt;=10",IFERROR(SUMPRODUCT($I$150:I150,$J$150:J150)&lt;10,FALSE)),AND(L151="sks&gt;10",L150="")),(((10-SUMPRODUCT($I$150:I150,$J$150:J150))*IF('LAMPIRAN I DONE'!$F$21="Tenaga Pengajar",0.5,IF(OR('LAMPIRAN I DONE'!$F$21="Asisten Ahli",'LAMPIRAN I DONE'!$F$21="Lektor",'LAMPIRAN I DONE'!$F$21="Lektor Kepala",'LAMPIRAN I DONE'!$F$21="Guru Besar"),1,"")))+(((I151*J151)-(10-SUMPRODUCT($I$150:I150,$J$150:J150)))*IF('LAMPIRAN I DONE'!$F$21="Tenaga Pengajar",0.25,IF(OR('LAMPIRAN I DONE'!$F$21="Asisten Ahli",'LAMPIRAN I DONE'!$F$21="Lektor",'LAMPIRAN I DONE'!$F$21="Lektor Kepala",'LAMPIRAN I DONE'!$F$21="Guru Besar"),0.5,"")))),IF(OR(AND(L151="sks&gt;10",L150="sks&gt;10"),AND(L151="sks&gt;10",L150="sks&lt;=10")),I151*J151*IF('LAMPIRAN I DONE'!$F$21="Tenaga Pengajar",0.25,IF(OR('LAMPIRAN I DONE'!$F$21="Asisten Ahli",'LAMPIRAN I DONE'!$F$21="Lektor",'LAMPIRAN I DONE'!$F$21="Lektor Kepala",'LAMPIRAN I DONE'!$F$21="Guru Besar"),0.5,"")),I151*J151*IF('LAMPIRAN I DONE'!$F$21="Tenaga Pengajar",0.5,IF(OR('LAMPIRAN I DONE'!$F$21="Asisten Ahli",'LAMPIRAN I DONE'!$F$21="Lektor",'LAMPIRAN I DONE'!$F$21="Lektor Kepala",'LAMPIRAN I DONE'!$F$21="Guru Besar"),1,""))))),"rumus")</f>
        <v>rumus</v>
      </c>
      <c r="L151" s="27" t="str">
        <f>IF(AND(I151&lt;&gt;"",J151&lt;&gt;""),(IF(SUMPRODUCT($I$151:I151,$J$151:J151)&lt;=10,"SKS&lt;=10",IF(SUMPRODUCT($I$151:I151,$J$151:J151)&gt;10,"SKS&gt;10",""))),"rumus")</f>
        <v>rumus</v>
      </c>
    </row>
    <row r="152" spans="1:14" s="173" customFormat="1" ht="25.5" hidden="1" customHeight="1" x14ac:dyDescent="0.45">
      <c r="A152" s="171">
        <v>2</v>
      </c>
      <c r="B152" s="170" t="s">
        <v>81</v>
      </c>
      <c r="C152" s="28" t="s">
        <v>112</v>
      </c>
      <c r="D152" s="28" t="str">
        <f t="shared" ref="D152:D156" si="23">IF(G152&lt;&gt;"rumus","SKS","")</f>
        <v/>
      </c>
      <c r="E152" s="256" t="str">
        <f>IF(K152&lt;&gt;"rumus",(IF(OR(AND(L152="sks&gt;10",L151="sks&lt;=10",IFERROR(SUMPRODUCT($I$150:I151,$J$150:J151)&lt;10,FALSE)),AND(L152="sks&gt;10",L151="")),(((10-SUMPRODUCT($I$150:I151,$J$150:J151))&amp;" x "&amp;1)&amp;"
"&amp;(((I152*J152)-(10-SUMPRODUCT($I$150:I151,$J$150:J151)))&amp;" x "&amp;1)),(I152&amp;" x "&amp;J152))),"")</f>
        <v/>
      </c>
      <c r="F152" s="256" t="str">
        <f>IF(K152&lt;&gt;"rumus",(IF(OR(AND(L152="sks&gt;10",L151="sks&lt;=10",IFERROR(SUMPRODUCT($I$150:I151,$J$150:J151)&lt;10,FALSE)),AND(L152="sks&gt;10",L151="")),((IF('LAMPIRAN I DONE'!$F$21="Tenaga Pengajar",0.5,IF(OR('LAMPIRAN I DONE'!$F$21="Asisten Ahli",'LAMPIRAN I DONE'!$F$21="Lektor",'LAMPIRAN I DONE'!$F$21="Lektor Kepala",'LAMPIRAN I DONE'!$F$21="Guru Besar"),1,"")))&amp;"
"&amp;(IF('LAMPIRAN I DONE'!$F$21="Tenaga Pengajar",0.25,IF(OR('LAMPIRAN I DONE'!$F$21="Asisten Ahli",'LAMPIRAN I DONE'!$F$21="Lektor",'LAMPIRAN I DONE'!$F$21="Lektor Kepala",'LAMPIRAN I DONE'!$F$21="Guru Besar"),0.5,"")))),((IF(OR(AND(L152="sks&gt;10",L151="sks&gt;10"),AND(L152="sks&gt;10",L151="sks&lt;=10")),IF('LAMPIRAN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f>
        <v/>
      </c>
      <c r="G152" s="105" t="str">
        <f>IF(K152&lt;&gt;"rumus",(IF(OR(AND(L152="sks&gt;10",L151="sks&lt;=10",IFERROR(SUMPRODUCT($I$150:I151,$J$150:J151)&lt;10,FALSE)),AND(L152="sks&gt;10",L151="")),(((10-SUMPRODUCT($I$150:I151,$J$150:J151))&amp;" x "&amp;1&amp;" x "&amp;IF('LAMPIRAN I DONE'!$F$21="Tenaga Pengajar",0.5,IF(OR('LAMPIRAN I DONE'!$F$21="Asisten Ahli",'LAMPIRAN I DONE'!$F$21="Lektor",'LAMPIRAN I DONE'!$F$21="Lektor Kepala",'LAMPIRAN I DONE'!$F$21="Guru Besar"),1,""))&amp;" = "&amp;((10-SUMPRODUCT($I$150:I151,$J$150:J151))*IF('LAMPIRAN I DONE'!$F$21="Tenaga Pengajar",0.5,IF(OR('LAMPIRAN I DONE'!$F$21="Asisten Ahli",'LAMPIRAN I DONE'!$F$21="Lektor",'LAMPIRAN I DONE'!$F$21="Lektor Kepala",'LAMPIRAN I DONE'!$F$21="Guru Besar"),1,""))))&amp;"
"&amp;(((I152*J152)-(10-SUMPRODUCT($I$150:I151,$J$150:J151)))&amp;" x "&amp;1&amp;" x "&amp;IF('LAMPIRAN I DONE'!$F$21="Tenaga Pengajar",0.25,IF(OR('LAMPIRAN I DONE'!$F$21="Asisten Ahli",'LAMPIRAN I DONE'!$F$21="Lektor",'LAMPIRAN I DONE'!$F$21="Lektor Kepala",'LAMPIRAN I DONE'!$F$21="Guru Besar"),0.5,""))&amp;" = "&amp;(((I152*J152)-(10-SUMPRODUCT($I$150:I151,$J$150:J151)))*IF('LAMPIRAN I DONE'!$F$21="Tenaga Pengajar",0.25,IF(OR('LAMPIRAN I DONE'!$F$21="Asisten Ahli",'LAMPIRAN I DONE'!$F$21="Lektor",'LAMPIRAN I DONE'!$F$21="Lektor Kepala",'LAMPIRAN I DONE'!$F$21="Guru Besar"),0.5,""))))),(I152&amp;" x "&amp;J152&amp;" x "&amp;(IF(OR(AND(L152="sks&gt;10",L151="sks&gt;10"),AND(L152="sks&gt;10",L151="sks&lt;=10")),IF('LAMPIRAN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Besar"),1,""))))&amp;" = "&amp;K152))),"rumus")</f>
        <v>rumus</v>
      </c>
      <c r="H152" s="820" t="s">
        <v>620</v>
      </c>
      <c r="I152" s="34"/>
      <c r="J152" s="34"/>
      <c r="K152" s="27" t="str">
        <f>IF(AND(I152&lt;&gt;"",J152&lt;&gt;""),(IF(OR(AND(L152="sks&gt;10",L151="sks&lt;=10",IFERROR(SUMPRODUCT($I$150:I151,$J$150:J151)&lt;10,FALSE)),AND(L152="sks&gt;10",L151="")),(((10-SUMPRODUCT($I$150:I151,$J$150:J151))*IF('LAMPIRAN I DONE'!$F$21="Tenaga Pengajar",0.5,IF(OR('LAMPIRAN I DONE'!$F$21="Asisten Ahli",'LAMPIRAN I DONE'!$F$21="Lektor",'LAMPIRAN I DONE'!$F$21="Lektor Kepala",'LAMPIRAN I DONE'!$F$21="Guru Besar"),1,"")))+(((I152*J152)-(10-SUMPRODUCT($I$150:I151,$J$150:J151)))*IF('LAMPIRAN I DONE'!$F$21="Tenaga Pengajar",0.25,IF(OR('LAMPIRAN I DONE'!$F$21="Asisten Ahli",'LAMPIRAN I DONE'!$F$21="Lektor",'LAMPIRAN I DONE'!$F$21="Lektor Kepala",'LAMPIRAN I DONE'!$F$21="Guru Besar"),0.5,"")))),IF(OR(AND(L152="sks&gt;10",L151="sks&gt;10"),AND(L152="sks&gt;10",L151="sks&lt;=10")),I152*J152*IF('LAMPIRAN I DONE'!$F$21="Tenaga Pengajar",0.25,IF(OR('LAMPIRAN I DONE'!$F$21="Asisten Ahli",'LAMPIRAN I DONE'!$F$21="Lektor",'LAMPIRAN I DONE'!$F$21="Lektor Kepala",'LAMPIRAN I DONE'!$F$21="Guru Besar"),0.5,"")),I152*J152*IF('LAMPIRAN I DONE'!$F$21="Tenaga Pengajar",0.5,IF(OR('LAMPIRAN I DONE'!$F$21="Asisten Ahli",'LAMPIRAN I DONE'!$F$21="Lektor",'LAMPIRAN I DONE'!$F$21="Lektor Kepala",'LAMPIRAN I DONE'!$F$21="Guru Besar"),1,""))))),"rumus")</f>
        <v>rumus</v>
      </c>
      <c r="L152" s="27" t="str">
        <f>IF(AND(I152&lt;&gt;"",J152&lt;&gt;""),(IF(SUMPRODUCT($I$151:I152,$J$151:J152)&lt;=10,"SKS&lt;=10",IF(SUMPRODUCT($I$151:I152,$J$151:J152)&gt;10,"SKS&gt;10",""))),"rumus")</f>
        <v>rumus</v>
      </c>
    </row>
    <row r="153" spans="1:14" s="2" customFormat="1" ht="25.5" hidden="1" customHeight="1" x14ac:dyDescent="0.45">
      <c r="A153" s="67">
        <v>3</v>
      </c>
      <c r="B153" s="170" t="s">
        <v>81</v>
      </c>
      <c r="C153" s="28" t="s">
        <v>112</v>
      </c>
      <c r="D153" s="28" t="str">
        <f t="shared" si="23"/>
        <v/>
      </c>
      <c r="E153" s="256" t="str">
        <f>IF(K153&lt;&gt;"rumus",(IF(OR(AND(L153="sks&gt;10",L152="sks&lt;=10",IFERROR(SUMPRODUCT($I$150:I152,$J$150:J152)&lt;10,FALSE)),AND(L153="sks&gt;10",L152="")),(((10-SUMPRODUCT($I$150:I152,$J$150:J152))&amp;" x "&amp;1)&amp;"
"&amp;(((I153*J153)-(10-SUMPRODUCT($I$150:I152,$J$150:J152)))&amp;" x "&amp;1)),(I153&amp;" x "&amp;J153))),"")</f>
        <v/>
      </c>
      <c r="F153" s="256" t="str">
        <f>IF(K153&lt;&gt;"rumus",(IF(OR(AND(L153="sks&gt;10",L152="sks&lt;=10",IFERROR(SUMPRODUCT($I$150:I152,$J$150:J152)&lt;10,FALSE)),AND(L153="sks&gt;10",L152="")),((IF('LAMPIRAN I DONE'!$F$21="Tenaga Pengajar",0.5,IF(OR('LAMPIRAN I DONE'!$F$21="Asisten Ahli",'LAMPIRAN I DONE'!$F$21="Lektor",'LAMPIRAN I DONE'!$F$21="Lektor Kepala",'LAMPIRAN I DONE'!$F$21="Guru Besar"),1,"")))&amp;"
"&amp;(IF('LAMPIRAN I DONE'!$F$21="Tenaga Pengajar",0.25,IF(OR('LAMPIRAN I DONE'!$F$21="Asisten Ahli",'LAMPIRAN I DONE'!$F$21="Lektor",'LAMPIRAN I DONE'!$F$21="Lektor Kepala",'LAMPIRAN I DONE'!$F$21="Guru Besar"),0.5,"")))),((IF(OR(AND(L153="sks&gt;10",L152="sks&gt;10"),AND(L153="sks&gt;10",L152="sks&lt;=10")),IF('LAMPIRAN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f>
        <v/>
      </c>
      <c r="G153" s="105" t="str">
        <f>IF(K153&lt;&gt;"rumus",(IF(OR(AND(L153="sks&gt;10",L152="sks&lt;=10",IFERROR(SUMPRODUCT($I$150:I152,$J$150:J152)&lt;10,FALSE)),AND(L153="sks&gt;10",L152="")),(((10-SUMPRODUCT($I$150:I152,$J$150:J152))&amp;" x "&amp;1&amp;" x "&amp;IF('LAMPIRAN I DONE'!$F$21="Tenaga Pengajar",0.5,IF(OR('LAMPIRAN I DONE'!$F$21="Asisten Ahli",'LAMPIRAN I DONE'!$F$21="Lektor",'LAMPIRAN I DONE'!$F$21="Lektor Kepala",'LAMPIRAN I DONE'!$F$21="Guru Besar"),1,""))&amp;" = "&amp;((10-SUMPRODUCT($I$150:I152,$J$150:J152))*IF('LAMPIRAN I DONE'!$F$21="Tenaga Pengajar",0.5,IF(OR('LAMPIRAN I DONE'!$F$21="Asisten Ahli",'LAMPIRAN I DONE'!$F$21="Lektor",'LAMPIRAN I DONE'!$F$21="Lektor Kepala",'LAMPIRAN I DONE'!$F$21="Guru Besar"),1,""))))&amp;"
"&amp;(((I153*J153)-(10-SUMPRODUCT($I$150:I152,$J$150:J152)))&amp;" x "&amp;1&amp;" x "&amp;IF('LAMPIRAN I DONE'!$F$21="Tenaga Pengajar",0.25,IF(OR('LAMPIRAN I DONE'!$F$21="Asisten Ahli",'LAMPIRAN I DONE'!$F$21="Lektor",'LAMPIRAN I DONE'!$F$21="Lektor Kepala",'LAMPIRAN I DONE'!$F$21="Guru Besar"),0.5,""))&amp;" = "&amp;(((I153*J153)-(10-SUMPRODUCT($I$150:I152,$J$150:J152)))*IF('LAMPIRAN I DONE'!$F$21="Tenaga Pengajar",0.25,IF(OR('LAMPIRAN I DONE'!$F$21="Asisten Ahli",'LAMPIRAN I DONE'!$F$21="Lektor",'LAMPIRAN I DONE'!$F$21="Lektor Kepala",'LAMPIRAN I DONE'!$F$21="Guru Besar"),0.5,""))))),(I153&amp;" x "&amp;J153&amp;" x "&amp;(IF(OR(AND(L153="sks&gt;10",L152="sks&gt;10"),AND(L153="sks&gt;10",L152="sks&lt;=10")),IF('LAMPIRAN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Besar"),1,""))))&amp;" = "&amp;K153))),"rumus")</f>
        <v>rumus</v>
      </c>
      <c r="H153" s="820" t="s">
        <v>620</v>
      </c>
      <c r="I153" s="34"/>
      <c r="J153" s="34"/>
      <c r="K153" s="27" t="str">
        <f>IF(AND(I153&lt;&gt;"",J153&lt;&gt;""),(IF(OR(AND(L153="sks&gt;10",L152="sks&lt;=10",IFERROR(SUMPRODUCT($I$150:I152,$J$150:J152)&lt;10,FALSE)),AND(L153="sks&gt;10",L152="")),(((10-SUMPRODUCT($I$150:I152,$J$150:J152))*IF('LAMPIRAN I DONE'!$F$21="Tenaga Pengajar",0.5,IF(OR('LAMPIRAN I DONE'!$F$21="Asisten Ahli",'LAMPIRAN I DONE'!$F$21="Lektor",'LAMPIRAN I DONE'!$F$21="Lektor Kepala",'LAMPIRAN I DONE'!$F$21="Guru Besar"),1,"")))+(((I153*J153)-(10-SUMPRODUCT($I$150:I152,$J$150:J152)))*IF('LAMPIRAN I DONE'!$F$21="Tenaga Pengajar",0.25,IF(OR('LAMPIRAN I DONE'!$F$21="Asisten Ahli",'LAMPIRAN I DONE'!$F$21="Lektor",'LAMPIRAN I DONE'!$F$21="Lektor Kepala",'LAMPIRAN I DONE'!$F$21="Guru Besar"),0.5,"")))),IF(OR(AND(L153="sks&gt;10",L152="sks&gt;10"),AND(L153="sks&gt;10",L152="sks&lt;=10")),I153*J153*IF('LAMPIRAN I DONE'!$F$21="Tenaga Pengajar",0.25,IF(OR('LAMPIRAN I DONE'!$F$21="Asisten Ahli",'LAMPIRAN I DONE'!$F$21="Lektor",'LAMPIRAN I DONE'!$F$21="Lektor Kepala",'LAMPIRAN I DONE'!$F$21="Guru Besar"),0.5,"")),I153*J153*IF('LAMPIRAN I DONE'!$F$21="Tenaga Pengajar",0.5,IF(OR('LAMPIRAN I DONE'!$F$21="Asisten Ahli",'LAMPIRAN I DONE'!$F$21="Lektor",'LAMPIRAN I DONE'!$F$21="Lektor Kepala",'LAMPIRAN I DONE'!$F$21="Guru Besar"),1,""))))),"rumus")</f>
        <v>rumus</v>
      </c>
      <c r="L153" s="27" t="str">
        <f>IF(AND(I153&lt;&gt;"",J153&lt;&gt;""),(IF(SUMPRODUCT($I$151:I153,$J$151:J153)&lt;=10,"SKS&lt;=10",IF(SUMPRODUCT($I$151:I153,$J$151:J153)&gt;10,"SKS&gt;10",""))),"rumus")</f>
        <v>rumus</v>
      </c>
    </row>
    <row r="154" spans="1:14" s="2" customFormat="1" ht="25.5" hidden="1" customHeight="1" x14ac:dyDescent="0.45">
      <c r="A154" s="171">
        <v>4</v>
      </c>
      <c r="B154" s="163" t="s">
        <v>81</v>
      </c>
      <c r="C154" s="28" t="s">
        <v>112</v>
      </c>
      <c r="D154" s="28" t="str">
        <f t="shared" si="23"/>
        <v/>
      </c>
      <c r="E154" s="256" t="str">
        <f>IF(K154&lt;&gt;"rumus",(IF(OR(AND(L154="sks&gt;10",L153="sks&lt;=10",IFERROR(SUMPRODUCT($I$150:I153,$J$150:J153)&lt;10,FALSE)),AND(L154="sks&gt;10",L153="")),(((10-SUMPRODUCT($I$150:I153,$J$150:J153))&amp;" x "&amp;1)&amp;"
"&amp;(((I154*J154)-(10-SUMPRODUCT($I$150:I153,$J$150:J153)))&amp;" x "&amp;1)),(I154&amp;" x "&amp;J154))),"")</f>
        <v/>
      </c>
      <c r="F154" s="256" t="str">
        <f>IF(K154&lt;&gt;"rumus",(IF(OR(AND(L154="sks&gt;10",L153="sks&lt;=10",IFERROR(SUMPRODUCT($I$150:I153,$J$150:J153)&lt;10,FALSE)),AND(L154="sks&gt;10",L153="")),((IF('LAMPIRAN I DONE'!$F$21="Tenaga Pengajar",0.5,IF(OR('LAMPIRAN I DONE'!$F$21="Asisten Ahli",'LAMPIRAN I DONE'!$F$21="Lektor",'LAMPIRAN I DONE'!$F$21="Lektor Kepala",'LAMPIRAN I DONE'!$F$21="Guru Besar"),1,"")))&amp;"
"&amp;(IF('LAMPIRAN I DONE'!$F$21="Tenaga Pengajar",0.25,IF(OR('LAMPIRAN I DONE'!$F$21="Asisten Ahli",'LAMPIRAN I DONE'!$F$21="Lektor",'LAMPIRAN I DONE'!$F$21="Lektor Kepala",'LAMPIRAN I DONE'!$F$21="Guru Besar"),0.5,"")))),((IF(OR(AND(L154="sks&gt;10",L153="sks&gt;10"),AND(L154="sks&gt;10",L153="sks&lt;=10")),IF('LAMPIRAN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f>
        <v/>
      </c>
      <c r="G154" s="105" t="str">
        <f>IF(K154&lt;&gt;"rumus",(IF(OR(AND(L154="sks&gt;10",L153="sks&lt;=10",IFERROR(SUMPRODUCT($I$150:I153,$J$150:J153)&lt;10,FALSE)),AND(L154="sks&gt;10",L153="")),(((10-SUMPRODUCT($I$150:I153,$J$150:J153))&amp;" x "&amp;1&amp;" x "&amp;IF('LAMPIRAN I DONE'!$F$21="Tenaga Pengajar",0.5,IF(OR('LAMPIRAN I DONE'!$F$21="Asisten Ahli",'LAMPIRAN I DONE'!$F$21="Lektor",'LAMPIRAN I DONE'!$F$21="Lektor Kepala",'LAMPIRAN I DONE'!$F$21="Guru Besar"),1,""))&amp;" = "&amp;((10-SUMPRODUCT($I$150:I153,$J$150:J153))*IF('LAMPIRAN I DONE'!$F$21="Tenaga Pengajar",0.5,IF(OR('LAMPIRAN I DONE'!$F$21="Asisten Ahli",'LAMPIRAN I DONE'!$F$21="Lektor",'LAMPIRAN I DONE'!$F$21="Lektor Kepala",'LAMPIRAN I DONE'!$F$21="Guru Besar"),1,""))))&amp;"
"&amp;(((I154*J154)-(10-SUMPRODUCT($I$150:I153,$J$150:J153)))&amp;" x "&amp;1&amp;" x "&amp;IF('LAMPIRAN I DONE'!$F$21="Tenaga Pengajar",0.25,IF(OR('LAMPIRAN I DONE'!$F$21="Asisten Ahli",'LAMPIRAN I DONE'!$F$21="Lektor",'LAMPIRAN I DONE'!$F$21="Lektor Kepala",'LAMPIRAN I DONE'!$F$21="Guru Besar"),0.5,""))&amp;" = "&amp;(((I154*J154)-(10-SUMPRODUCT($I$150:I153,$J$150:J153)))*IF('LAMPIRAN I DONE'!$F$21="Tenaga Pengajar",0.25,IF(OR('LAMPIRAN I DONE'!$F$21="Asisten Ahli",'LAMPIRAN I DONE'!$F$21="Lektor",'LAMPIRAN I DONE'!$F$21="Lektor Kepala",'LAMPIRAN I DONE'!$F$21="Guru Besar"),0.5,""))))),(I154&amp;" x "&amp;J154&amp;" x "&amp;(IF(OR(AND(L154="sks&gt;10",L153="sks&gt;10"),AND(L154="sks&gt;10",L153="sks&lt;=10")),IF('LAMPIRAN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Besar"),1,""))))&amp;" = "&amp;K154))),"rumus")</f>
        <v>rumus</v>
      </c>
      <c r="H154" s="820" t="s">
        <v>620</v>
      </c>
      <c r="I154" s="34"/>
      <c r="J154" s="34"/>
      <c r="K154" s="27" t="str">
        <f>IF(AND(I154&lt;&gt;"",J154&lt;&gt;""),(IF(OR(AND(L154="sks&gt;10",L153="sks&lt;=10",IFERROR(SUMPRODUCT($I$150:I153,$J$150:J153)&lt;10,FALSE)),AND(L154="sks&gt;10",L153="")),(((10-SUMPRODUCT($I$150:I153,$J$150:J153))*IF('LAMPIRAN I DONE'!$F$21="Tenaga Pengajar",0.5,IF(OR('LAMPIRAN I DONE'!$F$21="Asisten Ahli",'LAMPIRAN I DONE'!$F$21="Lektor",'LAMPIRAN I DONE'!$F$21="Lektor Kepala",'LAMPIRAN I DONE'!$F$21="Guru Besar"),1,"")))+(((I154*J154)-(10-SUMPRODUCT($I$150:I153,$J$150:J153)))*IF('LAMPIRAN I DONE'!$F$21="Tenaga Pengajar",0.25,IF(OR('LAMPIRAN I DONE'!$F$21="Asisten Ahli",'LAMPIRAN I DONE'!$F$21="Lektor",'LAMPIRAN I DONE'!$F$21="Lektor Kepala",'LAMPIRAN I DONE'!$F$21="Guru Besar"),0.5,"")))),IF(OR(AND(L154="sks&gt;10",L153="sks&gt;10"),AND(L154="sks&gt;10",L153="sks&lt;=10")),I154*J154*IF('LAMPIRAN I DONE'!$F$21="Tenaga Pengajar",0.25,IF(OR('LAMPIRAN I DONE'!$F$21="Asisten Ahli",'LAMPIRAN I DONE'!$F$21="Lektor",'LAMPIRAN I DONE'!$F$21="Lektor Kepala",'LAMPIRAN I DONE'!$F$21="Guru Besar"),0.5,"")),I154*J154*IF('LAMPIRAN I DONE'!$F$21="Tenaga Pengajar",0.5,IF(OR('LAMPIRAN I DONE'!$F$21="Asisten Ahli",'LAMPIRAN I DONE'!$F$21="Lektor",'LAMPIRAN I DONE'!$F$21="Lektor Kepala",'LAMPIRAN I DONE'!$F$21="Guru Besar"),1,""))))),"rumus")</f>
        <v>rumus</v>
      </c>
      <c r="L154" s="27" t="str">
        <f>IF(AND(I154&lt;&gt;"",J154&lt;&gt;""),(IF(SUMPRODUCT($I$151:I154,$J$151:J154)&lt;=10,"SKS&lt;=10",IF(SUMPRODUCT($I$151:I154,$J$151:J154)&gt;10,"SKS&gt;10",""))),"rumus")</f>
        <v>rumus</v>
      </c>
    </row>
    <row r="155" spans="1:14" s="2" customFormat="1" ht="25.5" hidden="1" customHeight="1" x14ac:dyDescent="0.45">
      <c r="A155" s="67">
        <v>5</v>
      </c>
      <c r="B155" s="163" t="s">
        <v>81</v>
      </c>
      <c r="C155" s="28" t="s">
        <v>112</v>
      </c>
      <c r="D155" s="28" t="str">
        <f t="shared" si="23"/>
        <v/>
      </c>
      <c r="E155" s="256" t="str">
        <f>IF(K155&lt;&gt;"rumus",(IF(OR(AND(L155="sks&gt;10",L154="sks&lt;=10",IFERROR(SUMPRODUCT($I$150:I154,$J$150:J154)&lt;10,FALSE)),AND(L155="sks&gt;10",L154="")),(((10-SUMPRODUCT($I$150:I154,$J$150:J154))&amp;" x "&amp;1)&amp;"
"&amp;(((I155*J155)-(10-SUMPRODUCT($I$150:I154,$J$150:J154)))&amp;" x "&amp;1)),(I155&amp;" x "&amp;J155))),"")</f>
        <v/>
      </c>
      <c r="F155" s="256" t="str">
        <f>IF(K155&lt;&gt;"rumus",(IF(OR(AND(L155="sks&gt;10",L154="sks&lt;=10",IFERROR(SUMPRODUCT($I$150:I154,$J$150:J154)&lt;10,FALSE)),AND(L155="sks&gt;10",L154="")),((IF('LAMPIRAN I DONE'!$F$21="Tenaga Pengajar",0.5,IF(OR('LAMPIRAN I DONE'!$F$21="Asisten Ahli",'LAMPIRAN I DONE'!$F$21="Lektor",'LAMPIRAN I DONE'!$F$21="Lektor Kepala",'LAMPIRAN I DONE'!$F$21="Guru Besar"),1,"")))&amp;"
"&amp;(IF('LAMPIRAN I DONE'!$F$21="Tenaga Pengajar",0.25,IF(OR('LAMPIRAN I DONE'!$F$21="Asisten Ahli",'LAMPIRAN I DONE'!$F$21="Lektor",'LAMPIRAN I DONE'!$F$21="Lektor Kepala",'LAMPIRAN I DONE'!$F$21="Guru Besar"),0.5,"")))),((IF(OR(AND(L155="sks&gt;10",L154="sks&gt;10"),AND(L155="sks&gt;10",L154="sks&lt;=10")),IF('LAMPIRAN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f>
        <v/>
      </c>
      <c r="G155" s="105" t="str">
        <f>IF(K155&lt;&gt;"rumus",(IF(OR(AND(L155="sks&gt;10",L154="sks&lt;=10",IFERROR(SUMPRODUCT($I$150:I154,$J$150:J154)&lt;10,FALSE)),AND(L155="sks&gt;10",L154="")),(((10-SUMPRODUCT($I$150:I154,$J$150:J154))&amp;" x "&amp;1&amp;" x "&amp;IF('LAMPIRAN I DONE'!$F$21="Tenaga Pengajar",0.5,IF(OR('LAMPIRAN I DONE'!$F$21="Asisten Ahli",'LAMPIRAN I DONE'!$F$21="Lektor",'LAMPIRAN I DONE'!$F$21="Lektor Kepala",'LAMPIRAN I DONE'!$F$21="Guru Besar"),1,""))&amp;" = "&amp;((10-SUMPRODUCT($I$150:I154,$J$150:J154))*IF('LAMPIRAN I DONE'!$F$21="Tenaga Pengajar",0.5,IF(OR('LAMPIRAN I DONE'!$F$21="Asisten Ahli",'LAMPIRAN I DONE'!$F$21="Lektor",'LAMPIRAN I DONE'!$F$21="Lektor Kepala",'LAMPIRAN I DONE'!$F$21="Guru Besar"),1,""))))&amp;"
"&amp;(((I155*J155)-(10-SUMPRODUCT($I$150:I154,$J$150:J154)))&amp;" x "&amp;1&amp;" x "&amp;IF('LAMPIRAN I DONE'!$F$21="Tenaga Pengajar",0.25,IF(OR('LAMPIRAN I DONE'!$F$21="Asisten Ahli",'LAMPIRAN I DONE'!$F$21="Lektor",'LAMPIRAN I DONE'!$F$21="Lektor Kepala",'LAMPIRAN I DONE'!$F$21="Guru Besar"),0.5,""))&amp;" = "&amp;(((I155*J155)-(10-SUMPRODUCT($I$150:I154,$J$150:J154)))*IF('LAMPIRAN I DONE'!$F$21="Tenaga Pengajar",0.25,IF(OR('LAMPIRAN I DONE'!$F$21="Asisten Ahli",'LAMPIRAN I DONE'!$F$21="Lektor",'LAMPIRAN I DONE'!$F$21="Lektor Kepala",'LAMPIRAN I DONE'!$F$21="Guru Besar"),0.5,""))))),(I155&amp;" x "&amp;J155&amp;" x "&amp;(IF(OR(AND(L155="sks&gt;10",L154="sks&gt;10"),AND(L155="sks&gt;10",L154="sks&lt;=10")),IF('LAMPIRAN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Besar"),1,""))))&amp;" = "&amp;K155))),"rumus")</f>
        <v>rumus</v>
      </c>
      <c r="H155" s="820" t="s">
        <v>620</v>
      </c>
      <c r="I155" s="34"/>
      <c r="J155" s="34"/>
      <c r="K155" s="27" t="str">
        <f>IF(AND(I155&lt;&gt;"",J155&lt;&gt;""),(IF(OR(AND(L155="sks&gt;10",L154="sks&lt;=10",IFERROR(SUMPRODUCT($I$150:I154,$J$150:J154)&lt;10,FALSE)),AND(L155="sks&gt;10",L154="")),(((10-SUMPRODUCT($I$150:I154,$J$150:J154))*IF('LAMPIRAN I DONE'!$F$21="Tenaga Pengajar",0.5,IF(OR('LAMPIRAN I DONE'!$F$21="Asisten Ahli",'LAMPIRAN I DONE'!$F$21="Lektor",'LAMPIRAN I DONE'!$F$21="Lektor Kepala",'LAMPIRAN I DONE'!$F$21="Guru Besar"),1,"")))+(((I155*J155)-(10-SUMPRODUCT($I$150:I154,$J$150:J154)))*IF('LAMPIRAN I DONE'!$F$21="Tenaga Pengajar",0.25,IF(OR('LAMPIRAN I DONE'!$F$21="Asisten Ahli",'LAMPIRAN I DONE'!$F$21="Lektor",'LAMPIRAN I DONE'!$F$21="Lektor Kepala",'LAMPIRAN I DONE'!$F$21="Guru Besar"),0.5,"")))),IF(OR(AND(L155="sks&gt;10",L154="sks&gt;10"),AND(L155="sks&gt;10",L154="sks&lt;=10")),I155*J155*IF('LAMPIRAN I DONE'!$F$21="Tenaga Pengajar",0.25,IF(OR('LAMPIRAN I DONE'!$F$21="Asisten Ahli",'LAMPIRAN I DONE'!$F$21="Lektor",'LAMPIRAN I DONE'!$F$21="Lektor Kepala",'LAMPIRAN I DONE'!$F$21="Guru Besar"),0.5,"")),I155*J155*IF('LAMPIRAN I DONE'!$F$21="Tenaga Pengajar",0.5,IF(OR('LAMPIRAN I DONE'!$F$21="Asisten Ahli",'LAMPIRAN I DONE'!$F$21="Lektor",'LAMPIRAN I DONE'!$F$21="Lektor Kepala",'LAMPIRAN I DONE'!$F$21="Guru Besar"),1,""))))),"rumus")</f>
        <v>rumus</v>
      </c>
      <c r="L155" s="27" t="str">
        <f>IF(AND(I155&lt;&gt;"",J155&lt;&gt;""),(IF(SUMPRODUCT($I$151:I155,$J$151:J155)&lt;=10,"SKS&lt;=10",IF(SUMPRODUCT($I$151:I155,$J$151:J155)&gt;10,"SKS&gt;10",""))),"rumus")</f>
        <v>rumus</v>
      </c>
    </row>
    <row r="156" spans="1:14" s="2" customFormat="1" ht="25.5" hidden="1" customHeight="1" x14ac:dyDescent="0.45">
      <c r="A156" s="171">
        <v>6</v>
      </c>
      <c r="B156" s="163" t="s">
        <v>81</v>
      </c>
      <c r="C156" s="28" t="s">
        <v>112</v>
      </c>
      <c r="D156" s="28" t="str">
        <f t="shared" si="23"/>
        <v/>
      </c>
      <c r="E156" s="256" t="str">
        <f>IF(K156&lt;&gt;"rumus",(IF(OR(AND(L156="sks&gt;10",L155="sks&lt;=10",IFERROR(SUMPRODUCT($I$150:I155,$J$150:J155)&lt;10,FALSE)),AND(L156="sks&gt;10",L155="")),(((10-SUMPRODUCT($I$150:I155,$J$150:J155))&amp;" x "&amp;1)&amp;"
"&amp;(((I156*J156)-(10-SUMPRODUCT($I$150:I155,$J$150:J155)))&amp;" x "&amp;1)),(I156&amp;" x "&amp;J156))),"")</f>
        <v/>
      </c>
      <c r="F156" s="256" t="str">
        <f>IF(K156&lt;&gt;"rumus",(IF(OR(AND(L156="sks&gt;10",L155="sks&lt;=10",IFERROR(SUMPRODUCT($I$150:I155,$J$150:J155)&lt;10,FALSE)),AND(L156="sks&gt;10",L155="")),((IF('LAMPIRAN I DONE'!$F$21="Tenaga Pengajar",0.5,IF(OR('LAMPIRAN I DONE'!$F$21="Asisten Ahli",'LAMPIRAN I DONE'!$F$21="Lektor",'LAMPIRAN I DONE'!$F$21="Lektor Kepala",'LAMPIRAN I DONE'!$F$21="Guru Besar"),1,"")))&amp;"
"&amp;(IF('LAMPIRAN I DONE'!$F$21="Tenaga Pengajar",0.25,IF(OR('LAMPIRAN I DONE'!$F$21="Asisten Ahli",'LAMPIRAN I DONE'!$F$21="Lektor",'LAMPIRAN I DONE'!$F$21="Lektor Kepala",'LAMPIRAN I DONE'!$F$21="Guru Besar"),0.5,"")))),((IF(OR(AND(L156="sks&gt;10",L155="sks&gt;10"),AND(L156="sks&gt;10",L155="sks&lt;=10")),IF('LAMPIRAN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f>
        <v/>
      </c>
      <c r="G156" s="105" t="str">
        <f>IF(K156&lt;&gt;"rumus",(IF(OR(AND(L156="sks&gt;10",L155="sks&lt;=10",IFERROR(SUMPRODUCT($I$150:I155,$J$150:J155)&lt;10,FALSE)),AND(L156="sks&gt;10",L155="")),(((10-SUMPRODUCT($I$150:I155,$J$150:J155))&amp;" x "&amp;1&amp;" x "&amp;IF('LAMPIRAN I DONE'!$F$21="Tenaga Pengajar",0.5,IF(OR('LAMPIRAN I DONE'!$F$21="Asisten Ahli",'LAMPIRAN I DONE'!$F$21="Lektor",'LAMPIRAN I DONE'!$F$21="Lektor Kepala",'LAMPIRAN I DONE'!$F$21="Guru Besar"),1,""))&amp;" = "&amp;((10-SUMPRODUCT($I$150:I155,$J$150:J155))*IF('LAMPIRAN I DONE'!$F$21="Tenaga Pengajar",0.5,IF(OR('LAMPIRAN I DONE'!$F$21="Asisten Ahli",'LAMPIRAN I DONE'!$F$21="Lektor",'LAMPIRAN I DONE'!$F$21="Lektor Kepala",'LAMPIRAN I DONE'!$F$21="Guru Besar"),1,""))))&amp;"
"&amp;(((I156*J156)-(10-SUMPRODUCT($I$150:I155,$J$150:J155)))&amp;" x "&amp;1&amp;" x "&amp;IF('LAMPIRAN I DONE'!$F$21="Tenaga Pengajar",0.25,IF(OR('LAMPIRAN I DONE'!$F$21="Asisten Ahli",'LAMPIRAN I DONE'!$F$21="Lektor",'LAMPIRAN I DONE'!$F$21="Lektor Kepala",'LAMPIRAN I DONE'!$F$21="Guru Besar"),0.5,""))&amp;" = "&amp;(((I156*J156)-(10-SUMPRODUCT($I$150:I155,$J$150:J155)))*IF('LAMPIRAN I DONE'!$F$21="Tenaga Pengajar",0.25,IF(OR('LAMPIRAN I DONE'!$F$21="Asisten Ahli",'LAMPIRAN I DONE'!$F$21="Lektor",'LAMPIRAN I DONE'!$F$21="Lektor Kepala",'LAMPIRAN I DONE'!$F$21="Guru Besar"),0.5,""))))),(I156&amp;" x "&amp;J156&amp;" x "&amp;(IF(OR(AND(L156="sks&gt;10",L155="sks&gt;10"),AND(L156="sks&gt;10",L155="sks&lt;=10")),IF('LAMPIRAN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Besar"),1,""))))&amp;" = "&amp;K156))),"rumus")</f>
        <v>rumus</v>
      </c>
      <c r="H156" s="820" t="s">
        <v>620</v>
      </c>
      <c r="I156" s="34"/>
      <c r="J156" s="34"/>
      <c r="K156" s="27" t="str">
        <f>IF(AND(I156&lt;&gt;"",J156&lt;&gt;""),(IF(OR(AND(L156="sks&gt;10",L155="sks&lt;=10",IFERROR(SUMPRODUCT($I$150:I155,$J$150:J155)&lt;10,FALSE)),AND(L156="sks&gt;10",L155="")),(((10-SUMPRODUCT($I$150:I155,$J$150:J155))*IF('LAMPIRAN I DONE'!$F$21="Tenaga Pengajar",0.5,IF(OR('LAMPIRAN I DONE'!$F$21="Asisten Ahli",'LAMPIRAN I DONE'!$F$21="Lektor",'LAMPIRAN I DONE'!$F$21="Lektor Kepala",'LAMPIRAN I DONE'!$F$21="Guru Besar"),1,"")))+(((I156*J156)-(10-SUMPRODUCT($I$150:I155,$J$150:J155)))*IF('LAMPIRAN I DONE'!$F$21="Tenaga Pengajar",0.25,IF(OR('LAMPIRAN I DONE'!$F$21="Asisten Ahli",'LAMPIRAN I DONE'!$F$21="Lektor",'LAMPIRAN I DONE'!$F$21="Lektor Kepala",'LAMPIRAN I DONE'!$F$21="Guru Besar"),0.5,"")))),IF(OR(AND(L156="sks&gt;10",L155="sks&gt;10"),AND(L156="sks&gt;10",L155="sks&lt;=10")),I156*J156*IF('LAMPIRAN I DONE'!$F$21="Tenaga Pengajar",0.25,IF(OR('LAMPIRAN I DONE'!$F$21="Asisten Ahli",'LAMPIRAN I DONE'!$F$21="Lektor",'LAMPIRAN I DONE'!$F$21="Lektor Kepala",'LAMPIRAN I DONE'!$F$21="Guru Besar"),0.5,"")),I156*J156*IF('LAMPIRAN I DONE'!$F$21="Tenaga Pengajar",0.5,IF(OR('LAMPIRAN I DONE'!$F$21="Asisten Ahli",'LAMPIRAN I DONE'!$F$21="Lektor",'LAMPIRAN I DONE'!$F$21="Lektor Kepala",'LAMPIRAN I DONE'!$F$21="Guru Besar"),1,""))))),"rumus")</f>
        <v>rumus</v>
      </c>
      <c r="L156" s="27" t="str">
        <f>IF(AND(I156&lt;&gt;"",J156&lt;&gt;""),(IF(SUMPRODUCT($I$151:I156,$J$151:J156)&lt;=10,"SKS&lt;=10",IF(SUMPRODUCT($I$151:I156,$J$151:J156)&gt;10,"SKS&gt;10",""))),"rumus")</f>
        <v>rumus</v>
      </c>
    </row>
    <row r="157" spans="1:14" s="2" customFormat="1" ht="15" hidden="1" customHeight="1" x14ac:dyDescent="0.45">
      <c r="A157" s="67"/>
      <c r="B157" s="168" t="str">
        <f>"b. Semester Genap "&amp;IF(C158&lt;&gt;"",C158,"")&amp;" :"</f>
        <v>b. Semester Genap 2012/2013 :</v>
      </c>
      <c r="C157" s="30"/>
      <c r="D157" s="30"/>
      <c r="E157" s="30"/>
      <c r="F157" s="30"/>
      <c r="G157" s="30"/>
      <c r="H157" s="54"/>
      <c r="I157" s="496"/>
      <c r="J157" s="496"/>
      <c r="M157" s="104">
        <f>IF((AND(N157="Max 5,5",SUM(K151:K156)&lt;=5.5)),SUM(K151:K156),IF((AND(N157="Max 5,5",SUM(K151:K156)&gt;5.5)),5.5,IF((AND(N157="Max 11",SUM(K151:K156)&lt;=11)),SUM(K151:K156),IF((AND(N157="Max 11",SUM(K151:K156)&gt;11)),11,""))))</f>
        <v>0</v>
      </c>
      <c r="N157" s="33" t="str">
        <f>IF('LAMPIRAN I DONE'!$F$21="Tenaga Pengajar","Max 5,5",IF(OR('LAMPIRAN I DONE'!$F$21="Asisten Ahli",'LAMPIRAN I DONE'!$F$21="Lektor",'LAMPIRAN I DONE'!$F$21="Lektor Kepala",'LAMPIRAN I DONE'!$F$21="Guru Besar"),"Max 11",""))</f>
        <v>Max 11</v>
      </c>
    </row>
    <row r="158" spans="1:14" s="2" customFormat="1" ht="25.5" hidden="1" customHeight="1" x14ac:dyDescent="0.45">
      <c r="A158" s="67">
        <v>1</v>
      </c>
      <c r="B158" s="163" t="s">
        <v>81</v>
      </c>
      <c r="C158" s="28" t="s">
        <v>113</v>
      </c>
      <c r="D158" s="28" t="str">
        <f>IF(G158&lt;&gt;"rumus","SKS","")</f>
        <v/>
      </c>
      <c r="E158" s="256" t="str">
        <f>IF(K158&lt;&gt;"rumus",(IF(OR(AND(L158="sks&gt;10",L157="sks&lt;=10",IFERROR(SUMPRODUCT($I$157:I157,$J$157:J157)&lt;10,FALSE)),AND(L158="sks&gt;10",L157="")),(((10-SUMPRODUCT($I$157:I157,$J$157:J157))&amp;" x "&amp;1)&amp;"
"&amp;(((I158*J158)-(10-SUMPRODUCT($I$157:I157,$J$157:J157)))&amp;" x "&amp;1)),(I158&amp;" x "&amp;J158))),"")</f>
        <v/>
      </c>
      <c r="F158" s="256" t="str">
        <f>IF(K158&lt;&gt;"rumus",(IF(OR(AND(L158="sks&gt;10",L157="sks&lt;=10",IFERROR(SUMPRODUCT($I$157:I157,$J$157:J157)&lt;10,FALSE)),AND(L158="sks&gt;10",L157="")),((IF('LAMPIRAN I DONE'!$F$21="Tenaga Pengajar",0.5,IF(OR('LAMPIRAN I DONE'!$F$21="Asisten Ahli",'LAMPIRAN I DONE'!$F$21="Lektor",'LAMPIRAN I DONE'!$F$21="Lektor Kepala",'LAMPIRAN I DONE'!$F$21="Guru Besar"),1,"")))&amp;"
"&amp;(IF('LAMPIRAN I DONE'!$F$21="Tenaga Pengajar",0.25,IF(OR('LAMPIRAN I DONE'!$F$21="Asisten Ahli",'LAMPIRAN I DONE'!$F$21="Lektor",'LAMPIRAN I DONE'!$F$21="Lektor Kepala",'LAMPIRAN I DONE'!$F$21="Guru Besar"),0.5,"")))),((IF(OR(AND(L158="sks&gt;10",L157="sks&gt;10"),AND(L158="sks&gt;10",L157="sks&lt;=10")),IF('LAMPIRAN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f>
        <v/>
      </c>
      <c r="G158" s="105" t="str">
        <f>IF(K158&lt;&gt;"rumus",(IF(OR(AND(L158="sks&gt;10",L157="sks&lt;=10",IFERROR(SUMPRODUCT($I$157:I157,$J$157:J157)&lt;10,FALSE)),AND(L158="sks&gt;10",L157="")),(((10-SUMPRODUCT($I$157:I157,$J$157:J157))&amp;" x "&amp;1&amp;" x "&amp;IF('LAMPIRAN I DONE'!$F$21="Tenaga Pengajar",0.5,IF(OR('LAMPIRAN I DONE'!$F$21="Asisten Ahli",'LAMPIRAN I DONE'!$F$21="Lektor",'LAMPIRAN I DONE'!$F$21="Lektor Kepala",'LAMPIRAN I DONE'!$F$21="Guru Besar"),1,""))&amp;" = "&amp;((10-SUMPRODUCT($I$157:I157,$J$157:J157))*IF('LAMPIRAN I DONE'!$F$21="Tenaga Pengajar",0.5,IF(OR('LAMPIRAN I DONE'!$F$21="Asisten Ahli",'LAMPIRAN I DONE'!$F$21="Lektor",'LAMPIRAN I DONE'!$F$21="Lektor Kepala",'LAMPIRAN I DONE'!$F$21="Guru Besar"),1,""))))&amp;"
"&amp;(((I158*J158)-(10-SUMPRODUCT($I$157:I157,$J$157:J157)))&amp;" x "&amp;1&amp;" x "&amp;IF('LAMPIRAN I DONE'!$F$21="Tenaga Pengajar",0.25,IF(OR('LAMPIRAN I DONE'!$F$21="Asisten Ahli",'LAMPIRAN I DONE'!$F$21="Lektor",'LAMPIRAN I DONE'!$F$21="Lektor Kepala",'LAMPIRAN I DONE'!$F$21="Guru Besar"),0.5,""))&amp;" = "&amp;(((I158*J158)-(10-SUMPRODUCT($I$157:I157,$J$157:J157)))*IF('LAMPIRAN I DONE'!$F$21="Tenaga Pengajar",0.25,IF(OR('LAMPIRAN I DONE'!$F$21="Asisten Ahli",'LAMPIRAN I DONE'!$F$21="Lektor",'LAMPIRAN I DONE'!$F$21="Lektor Kepala",'LAMPIRAN I DONE'!$F$21="Guru Besar"),0.5,""))))),(I158&amp;" x "&amp;J158&amp;" x "&amp;(IF(OR(AND(L158="sks&gt;10",L157="sks&gt;10"),AND(L158="sks&gt;10",L157="sks&lt;=10")),IF('LAMPIRAN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Besar"),1,""))))&amp;" = "&amp;K158))),"rumus")</f>
        <v>rumus</v>
      </c>
      <c r="H158" s="820" t="s">
        <v>620</v>
      </c>
      <c r="I158" s="34"/>
      <c r="J158" s="34"/>
      <c r="K158" s="27" t="str">
        <f>IF(AND(I158&lt;&gt;"",J158&lt;&gt;""),(IF(OR(AND(L158="sks&gt;10",L157="sks&lt;=10",IFERROR(SUMPRODUCT($I$157:I157,$J$157:J157)&lt;10,FALSE)),AND(L158="sks&gt;10",L157="")),(((10-SUMPRODUCT($I$157:I157,$J$157:J157))*IF('LAMPIRAN I DONE'!$F$21="Tenaga Pengajar",0.5,IF(OR('LAMPIRAN I DONE'!$F$21="Asisten Ahli",'LAMPIRAN I DONE'!$F$21="Lektor",'LAMPIRAN I DONE'!$F$21="Lektor Kepala",'LAMPIRAN I DONE'!$F$21="Guru Besar"),1,"")))+(((I158*J158)-(10-SUMPRODUCT($I$157:I157,$J$157:J157)))*IF('LAMPIRAN I DONE'!$F$21="Tenaga Pengajar",0.25,IF(OR('LAMPIRAN I DONE'!$F$21="Asisten Ahli",'LAMPIRAN I DONE'!$F$21="Lektor",'LAMPIRAN I DONE'!$F$21="Lektor Kepala",'LAMPIRAN I DONE'!$F$21="Guru Besar"),0.5,"")))),IF(OR(AND(L158="sks&gt;10",L157="sks&gt;10"),AND(L158="sks&gt;10",L157="sks&lt;=10")),I158*J158*IF('LAMPIRAN I DONE'!$F$21="Tenaga Pengajar",0.25,IF(OR('LAMPIRAN I DONE'!$F$21="Asisten Ahli",'LAMPIRAN I DONE'!$F$21="Lektor",'LAMPIRAN I DONE'!$F$21="Lektor Kepala",'LAMPIRAN I DONE'!$F$21="Guru Besar"),0.5,"")),I158*J158*IF('LAMPIRAN I DONE'!$F$21="Tenaga Pengajar",0.5,IF(OR('LAMPIRAN I DONE'!$F$21="Asisten Ahli",'LAMPIRAN I DONE'!$F$21="Lektor",'LAMPIRAN I DONE'!$F$21="Lektor Kepala",'LAMPIRAN I DONE'!$F$21="Guru Besar"),1,""))))),"rumus")</f>
        <v>rumus</v>
      </c>
      <c r="L158" s="27" t="str">
        <f>IF(AND(I158&lt;&gt;"",J158&lt;&gt;""),(IF(SUMPRODUCT($I$158:I158,$J$158:J158)&lt;=10,"SKS&lt;=10",IF(SUMPRODUCT($I$158:I158,$J$158:J158)&gt;10,"SKS&gt;10",""))),"rumus")</f>
        <v>rumus</v>
      </c>
    </row>
    <row r="159" spans="1:14" s="2" customFormat="1" ht="25.5" hidden="1" customHeight="1" x14ac:dyDescent="0.45">
      <c r="A159" s="67">
        <v>2</v>
      </c>
      <c r="B159" s="163" t="s">
        <v>81</v>
      </c>
      <c r="C159" s="28" t="s">
        <v>113</v>
      </c>
      <c r="D159" s="28" t="str">
        <f t="shared" ref="D159:D163" si="24">IF(G159&lt;&gt;"rumus","SKS","")</f>
        <v/>
      </c>
      <c r="E159" s="256" t="str">
        <f>IF(K159&lt;&gt;"rumus",(IF(OR(AND(L159="sks&gt;10",L158="sks&lt;=10",IFERROR(SUMPRODUCT($I$157:I158,$J$157:J158)&lt;10,FALSE)),AND(L159="sks&gt;10",L158="")),(((10-SUMPRODUCT($I$157:I158,$J$157:J158))&amp;" x "&amp;1)&amp;"
"&amp;(((I159*J159)-(10-SUMPRODUCT($I$157:I158,$J$157:J158)))&amp;" x "&amp;1)),(I159&amp;" x "&amp;J159))),"")</f>
        <v/>
      </c>
      <c r="F159" s="256" t="str">
        <f>IF(K159&lt;&gt;"rumus",(IF(OR(AND(L159="sks&gt;10",L158="sks&lt;=10",IFERROR(SUMPRODUCT($I$157:I158,$J$157:J158)&lt;10,FALSE)),AND(L159="sks&gt;10",L158="")),((IF('LAMPIRAN I DONE'!$F$21="Tenaga Pengajar",0.5,IF(OR('LAMPIRAN I DONE'!$F$21="Asisten Ahli",'LAMPIRAN I DONE'!$F$21="Lektor",'LAMPIRAN I DONE'!$F$21="Lektor Kepala",'LAMPIRAN I DONE'!$F$21="Guru Besar"),1,"")))&amp;"
"&amp;(IF('LAMPIRAN I DONE'!$F$21="Tenaga Pengajar",0.25,IF(OR('LAMPIRAN I DONE'!$F$21="Asisten Ahli",'LAMPIRAN I DONE'!$F$21="Lektor",'LAMPIRAN I DONE'!$F$21="Lektor Kepala",'LAMPIRAN I DONE'!$F$21="Guru Besar"),0.5,"")))),((IF(OR(AND(L159="sks&gt;10",L158="sks&gt;10"),AND(L159="sks&gt;10",L158="sks&lt;=10")),IF('LAMPIRAN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f>
        <v/>
      </c>
      <c r="G159" s="105" t="str">
        <f>IF(K159&lt;&gt;"rumus",(IF(OR(AND(L159="sks&gt;10",L158="sks&lt;=10",IFERROR(SUMPRODUCT($I$157:I158,$J$157:J158)&lt;10,FALSE)),AND(L159="sks&gt;10",L158="")),(((10-SUMPRODUCT($I$157:I158,$J$157:J158))&amp;" x "&amp;1&amp;" x "&amp;IF('LAMPIRAN I DONE'!$F$21="Tenaga Pengajar",0.5,IF(OR('LAMPIRAN I DONE'!$F$21="Asisten Ahli",'LAMPIRAN I DONE'!$F$21="Lektor",'LAMPIRAN I DONE'!$F$21="Lektor Kepala",'LAMPIRAN I DONE'!$F$21="Guru Besar"),1,""))&amp;" = "&amp;((10-SUMPRODUCT($I$157:I158,$J$157:J158))*IF('LAMPIRAN I DONE'!$F$21="Tenaga Pengajar",0.5,IF(OR('LAMPIRAN I DONE'!$F$21="Asisten Ahli",'LAMPIRAN I DONE'!$F$21="Lektor",'LAMPIRAN I DONE'!$F$21="Lektor Kepala",'LAMPIRAN I DONE'!$F$21="Guru Besar"),1,""))))&amp;"
"&amp;(((I159*J159)-(10-SUMPRODUCT($I$157:I158,$J$157:J158)))&amp;" x "&amp;1&amp;" x "&amp;IF('LAMPIRAN I DONE'!$F$21="Tenaga Pengajar",0.25,IF(OR('LAMPIRAN I DONE'!$F$21="Asisten Ahli",'LAMPIRAN I DONE'!$F$21="Lektor",'LAMPIRAN I DONE'!$F$21="Lektor Kepala",'LAMPIRAN I DONE'!$F$21="Guru Besar"),0.5,""))&amp;" = "&amp;(((I159*J159)-(10-SUMPRODUCT($I$157:I158,$J$157:J158)))*IF('LAMPIRAN I DONE'!$F$21="Tenaga Pengajar",0.25,IF(OR('LAMPIRAN I DONE'!$F$21="Asisten Ahli",'LAMPIRAN I DONE'!$F$21="Lektor",'LAMPIRAN I DONE'!$F$21="Lektor Kepala",'LAMPIRAN I DONE'!$F$21="Guru Besar"),0.5,""))))),(I159&amp;" x "&amp;J159&amp;" x "&amp;(IF(OR(AND(L159="sks&gt;10",L158="sks&gt;10"),AND(L159="sks&gt;10",L158="sks&lt;=10")),IF('LAMPIRAN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Besar"),1,""))))&amp;" = "&amp;K159))),"rumus")</f>
        <v>rumus</v>
      </c>
      <c r="H159" s="820" t="s">
        <v>620</v>
      </c>
      <c r="I159" s="34"/>
      <c r="J159" s="34"/>
      <c r="K159" s="27" t="str">
        <f>IF(AND(I159&lt;&gt;"",J159&lt;&gt;""),(IF(OR(AND(L159="sks&gt;10",L158="sks&lt;=10",IFERROR(SUMPRODUCT($I$157:I158,$J$157:J158)&lt;10,FALSE)),AND(L159="sks&gt;10",L158="")),(((10-SUMPRODUCT($I$157:I158,$J$157:J158))*IF('LAMPIRAN I DONE'!$F$21="Tenaga Pengajar",0.5,IF(OR('LAMPIRAN I DONE'!$F$21="Asisten Ahli",'LAMPIRAN I DONE'!$F$21="Lektor",'LAMPIRAN I DONE'!$F$21="Lektor Kepala",'LAMPIRAN I DONE'!$F$21="Guru Besar"),1,"")))+(((I159*J159)-(10-SUMPRODUCT($I$157:I158,$J$157:J158)))*IF('LAMPIRAN I DONE'!$F$21="Tenaga Pengajar",0.25,IF(OR('LAMPIRAN I DONE'!$F$21="Asisten Ahli",'LAMPIRAN I DONE'!$F$21="Lektor",'LAMPIRAN I DONE'!$F$21="Lektor Kepala",'LAMPIRAN I DONE'!$F$21="Guru Besar"),0.5,"")))),IF(OR(AND(L159="sks&gt;10",L158="sks&gt;10"),AND(L159="sks&gt;10",L158="sks&lt;=10")),I159*J159*IF('LAMPIRAN I DONE'!$F$21="Tenaga Pengajar",0.25,IF(OR('LAMPIRAN I DONE'!$F$21="Asisten Ahli",'LAMPIRAN I DONE'!$F$21="Lektor",'LAMPIRAN I DONE'!$F$21="Lektor Kepala",'LAMPIRAN I DONE'!$F$21="Guru Besar"),0.5,"")),I159*J159*IF('LAMPIRAN I DONE'!$F$21="Tenaga Pengajar",0.5,IF(OR('LAMPIRAN I DONE'!$F$21="Asisten Ahli",'LAMPIRAN I DONE'!$F$21="Lektor",'LAMPIRAN I DONE'!$F$21="Lektor Kepala",'LAMPIRAN I DONE'!$F$21="Guru Besar"),1,""))))),"rumus")</f>
        <v>rumus</v>
      </c>
      <c r="L159" s="27" t="str">
        <f>IF(AND(I159&lt;&gt;"",J159&lt;&gt;""),(IF(SUMPRODUCT($I$158:I159,$J$158:J159)&lt;=10,"SKS&lt;=10",IF(SUMPRODUCT($I$158:I159,$J$158:J159)&gt;10,"SKS&gt;10",""))),"rumus")</f>
        <v>rumus</v>
      </c>
    </row>
    <row r="160" spans="1:14" s="2" customFormat="1" ht="25.5" hidden="1" customHeight="1" x14ac:dyDescent="0.45">
      <c r="A160" s="67">
        <v>3</v>
      </c>
      <c r="B160" s="163" t="s">
        <v>81</v>
      </c>
      <c r="C160" s="28" t="s">
        <v>113</v>
      </c>
      <c r="D160" s="28" t="str">
        <f t="shared" si="24"/>
        <v/>
      </c>
      <c r="E160" s="256" t="str">
        <f>IF(K160&lt;&gt;"rumus",(IF(OR(AND(L160="sks&gt;10",L159="sks&lt;=10",IFERROR(SUMPRODUCT($I$157:I159,$J$157:J159)&lt;10,FALSE)),AND(L160="sks&gt;10",L159="")),(((10-SUMPRODUCT($I$157:I159,$J$157:J159))&amp;" x "&amp;1)&amp;"
"&amp;(((I160*J160)-(10-SUMPRODUCT($I$157:I159,$J$157:J159)))&amp;" x "&amp;1)),(I160&amp;" x "&amp;J160))),"")</f>
        <v/>
      </c>
      <c r="F160" s="256" t="str">
        <f>IF(K160&lt;&gt;"rumus",(IF(OR(AND(L160="sks&gt;10",L159="sks&lt;=10",IFERROR(SUMPRODUCT($I$157:I159,$J$157:J159)&lt;10,FALSE)),AND(L160="sks&gt;10",L159="")),((IF('LAMPIRAN I DONE'!$F$21="Tenaga Pengajar",0.5,IF(OR('LAMPIRAN I DONE'!$F$21="Asisten Ahli",'LAMPIRAN I DONE'!$F$21="Lektor",'LAMPIRAN I DONE'!$F$21="Lektor Kepala",'LAMPIRAN I DONE'!$F$21="Guru Besar"),1,"")))&amp;"
"&amp;(IF('LAMPIRAN I DONE'!$F$21="Tenaga Pengajar",0.25,IF(OR('LAMPIRAN I DONE'!$F$21="Asisten Ahli",'LAMPIRAN I DONE'!$F$21="Lektor",'LAMPIRAN I DONE'!$F$21="Lektor Kepala",'LAMPIRAN I DONE'!$F$21="Guru Besar"),0.5,"")))),((IF(OR(AND(L160="sks&gt;10",L159="sks&gt;10"),AND(L160="sks&gt;10",L159="sks&lt;=10")),IF('LAMPIRAN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f>
        <v/>
      </c>
      <c r="G160" s="105" t="str">
        <f>IF(K160&lt;&gt;"rumus",(IF(OR(AND(L160="sks&gt;10",L159="sks&lt;=10",IFERROR(SUMPRODUCT($I$157:I159,$J$157:J159)&lt;10,FALSE)),AND(L160="sks&gt;10",L159="")),(((10-SUMPRODUCT($I$157:I159,$J$157:J159))&amp;" x "&amp;1&amp;" x "&amp;IF('LAMPIRAN I DONE'!$F$21="Tenaga Pengajar",0.5,IF(OR('LAMPIRAN I DONE'!$F$21="Asisten Ahli",'LAMPIRAN I DONE'!$F$21="Lektor",'LAMPIRAN I DONE'!$F$21="Lektor Kepala",'LAMPIRAN I DONE'!$F$21="Guru Besar"),1,""))&amp;" = "&amp;((10-SUMPRODUCT($I$157:I159,$J$157:J159))*IF('LAMPIRAN I DONE'!$F$21="Tenaga Pengajar",0.5,IF(OR('LAMPIRAN I DONE'!$F$21="Asisten Ahli",'LAMPIRAN I DONE'!$F$21="Lektor",'LAMPIRAN I DONE'!$F$21="Lektor Kepala",'LAMPIRAN I DONE'!$F$21="Guru Besar"),1,""))))&amp;"
"&amp;(((I160*J160)-(10-SUMPRODUCT($I$157:I159,$J$157:J159)))&amp;" x "&amp;1&amp;" x "&amp;IF('LAMPIRAN I DONE'!$F$21="Tenaga Pengajar",0.25,IF(OR('LAMPIRAN I DONE'!$F$21="Asisten Ahli",'LAMPIRAN I DONE'!$F$21="Lektor",'LAMPIRAN I DONE'!$F$21="Lektor Kepala",'LAMPIRAN I DONE'!$F$21="Guru Besar"),0.5,""))&amp;" = "&amp;(((I160*J160)-(10-SUMPRODUCT($I$157:I159,$J$157:J159)))*IF('LAMPIRAN I DONE'!$F$21="Tenaga Pengajar",0.25,IF(OR('LAMPIRAN I DONE'!$F$21="Asisten Ahli",'LAMPIRAN I DONE'!$F$21="Lektor",'LAMPIRAN I DONE'!$F$21="Lektor Kepala",'LAMPIRAN I DONE'!$F$21="Guru Besar"),0.5,""))))),(I160&amp;" x "&amp;J160&amp;" x "&amp;(IF(OR(AND(L160="sks&gt;10",L159="sks&gt;10"),AND(L160="sks&gt;10",L159="sks&lt;=10")),IF('LAMPIRAN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Besar"),1,""))))&amp;" = "&amp;K160))),"rumus")</f>
        <v>rumus</v>
      </c>
      <c r="H160" s="820" t="s">
        <v>620</v>
      </c>
      <c r="I160" s="34"/>
      <c r="J160" s="34"/>
      <c r="K160" s="27" t="str">
        <f>IF(AND(I160&lt;&gt;"",J160&lt;&gt;""),(IF(OR(AND(L160="sks&gt;10",L159="sks&lt;=10",IFERROR(SUMPRODUCT($I$157:I159,$J$157:J159)&lt;10,FALSE)),AND(L160="sks&gt;10",L159="")),(((10-SUMPRODUCT($I$157:I159,$J$157:J159))*IF('LAMPIRAN I DONE'!$F$21="Tenaga Pengajar",0.5,IF(OR('LAMPIRAN I DONE'!$F$21="Asisten Ahli",'LAMPIRAN I DONE'!$F$21="Lektor",'LAMPIRAN I DONE'!$F$21="Lektor Kepala",'LAMPIRAN I DONE'!$F$21="Guru Besar"),1,"")))+(((I160*J160)-(10-SUMPRODUCT($I$157:I159,$J$157:J159)))*IF('LAMPIRAN I DONE'!$F$21="Tenaga Pengajar",0.25,IF(OR('LAMPIRAN I DONE'!$F$21="Asisten Ahli",'LAMPIRAN I DONE'!$F$21="Lektor",'LAMPIRAN I DONE'!$F$21="Lektor Kepala",'LAMPIRAN I DONE'!$F$21="Guru Besar"),0.5,"")))),IF(OR(AND(L160="sks&gt;10",L159="sks&gt;10"),AND(L160="sks&gt;10",L159="sks&lt;=10")),I160*J160*IF('LAMPIRAN I DONE'!$F$21="Tenaga Pengajar",0.25,IF(OR('LAMPIRAN I DONE'!$F$21="Asisten Ahli",'LAMPIRAN I DONE'!$F$21="Lektor",'LAMPIRAN I DONE'!$F$21="Lektor Kepala",'LAMPIRAN I DONE'!$F$21="Guru Besar"),0.5,"")),I160*J160*IF('LAMPIRAN I DONE'!$F$21="Tenaga Pengajar",0.5,IF(OR('LAMPIRAN I DONE'!$F$21="Asisten Ahli",'LAMPIRAN I DONE'!$F$21="Lektor",'LAMPIRAN I DONE'!$F$21="Lektor Kepala",'LAMPIRAN I DONE'!$F$21="Guru Besar"),1,""))))),"rumus")</f>
        <v>rumus</v>
      </c>
      <c r="L160" s="27" t="str">
        <f>IF(AND(I160&lt;&gt;"",J160&lt;&gt;""),(IF(SUMPRODUCT($I$158:I160,$J$158:J160)&lt;=10,"SKS&lt;=10",IF(SUMPRODUCT($I$158:I160,$J$158:J160)&gt;10,"SKS&gt;10",""))),"rumus")</f>
        <v>rumus</v>
      </c>
    </row>
    <row r="161" spans="1:14" s="2" customFormat="1" ht="25.5" hidden="1" customHeight="1" x14ac:dyDescent="0.45">
      <c r="A161" s="67">
        <v>4</v>
      </c>
      <c r="B161" s="163" t="s">
        <v>81</v>
      </c>
      <c r="C161" s="28" t="s">
        <v>113</v>
      </c>
      <c r="D161" s="28" t="str">
        <f t="shared" si="24"/>
        <v/>
      </c>
      <c r="E161" s="256" t="str">
        <f>IF(K161&lt;&gt;"rumus",(IF(OR(AND(L161="sks&gt;10",L160="sks&lt;=10",IFERROR(SUMPRODUCT($I$157:I160,$J$157:J160)&lt;10,FALSE)),AND(L161="sks&gt;10",L160="")),(((10-SUMPRODUCT($I$157:I160,$J$157:J160))&amp;" x "&amp;1)&amp;"
"&amp;(((I161*J161)-(10-SUMPRODUCT($I$157:I160,$J$157:J160)))&amp;" x "&amp;1)),(I161&amp;" x "&amp;J161))),"")</f>
        <v/>
      </c>
      <c r="F161" s="256" t="str">
        <f>IF(K161&lt;&gt;"rumus",(IF(OR(AND(L161="sks&gt;10",L160="sks&lt;=10",IFERROR(SUMPRODUCT($I$157:I160,$J$157:J160)&lt;10,FALSE)),AND(L161="sks&gt;10",L160="")),((IF('LAMPIRAN I DONE'!$F$21="Tenaga Pengajar",0.5,IF(OR('LAMPIRAN I DONE'!$F$21="Asisten Ahli",'LAMPIRAN I DONE'!$F$21="Lektor",'LAMPIRAN I DONE'!$F$21="Lektor Kepala",'LAMPIRAN I DONE'!$F$21="Guru Besar"),1,"")))&amp;"
"&amp;(IF('LAMPIRAN I DONE'!$F$21="Tenaga Pengajar",0.25,IF(OR('LAMPIRAN I DONE'!$F$21="Asisten Ahli",'LAMPIRAN I DONE'!$F$21="Lektor",'LAMPIRAN I DONE'!$F$21="Lektor Kepala",'LAMPIRAN I DONE'!$F$21="Guru Besar"),0.5,"")))),((IF(OR(AND(L161="sks&gt;10",L160="sks&gt;10"),AND(L161="sks&gt;10",L160="sks&lt;=10")),IF('LAMPIRAN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f>
        <v/>
      </c>
      <c r="G161" s="105" t="str">
        <f>IF(K161&lt;&gt;"rumus",(IF(OR(AND(L161="sks&gt;10",L160="sks&lt;=10",IFERROR(SUMPRODUCT($I$157:I160,$J$157:J160)&lt;10,FALSE)),AND(L161="sks&gt;10",L160="")),(((10-SUMPRODUCT($I$157:I160,$J$157:J160))&amp;" x "&amp;1&amp;" x "&amp;IF('LAMPIRAN I DONE'!$F$21="Tenaga Pengajar",0.5,IF(OR('LAMPIRAN I DONE'!$F$21="Asisten Ahli",'LAMPIRAN I DONE'!$F$21="Lektor",'LAMPIRAN I DONE'!$F$21="Lektor Kepala",'LAMPIRAN I DONE'!$F$21="Guru Besar"),1,""))&amp;" = "&amp;((10-SUMPRODUCT($I$157:I160,$J$157:J160))*IF('LAMPIRAN I DONE'!$F$21="Tenaga Pengajar",0.5,IF(OR('LAMPIRAN I DONE'!$F$21="Asisten Ahli",'LAMPIRAN I DONE'!$F$21="Lektor",'LAMPIRAN I DONE'!$F$21="Lektor Kepala",'LAMPIRAN I DONE'!$F$21="Guru Besar"),1,""))))&amp;"
"&amp;(((I161*J161)-(10-SUMPRODUCT($I$157:I160,$J$157:J160)))&amp;" x "&amp;1&amp;" x "&amp;IF('LAMPIRAN I DONE'!$F$21="Tenaga Pengajar",0.25,IF(OR('LAMPIRAN I DONE'!$F$21="Asisten Ahli",'LAMPIRAN I DONE'!$F$21="Lektor",'LAMPIRAN I DONE'!$F$21="Lektor Kepala",'LAMPIRAN I DONE'!$F$21="Guru Besar"),0.5,""))&amp;" = "&amp;(((I161*J161)-(10-SUMPRODUCT($I$157:I160,$J$157:J160)))*IF('LAMPIRAN I DONE'!$F$21="Tenaga Pengajar",0.25,IF(OR('LAMPIRAN I DONE'!$F$21="Asisten Ahli",'LAMPIRAN I DONE'!$F$21="Lektor",'LAMPIRAN I DONE'!$F$21="Lektor Kepala",'LAMPIRAN I DONE'!$F$21="Guru Besar"),0.5,""))))),(I161&amp;" x "&amp;J161&amp;" x "&amp;(IF(OR(AND(L161="sks&gt;10",L160="sks&gt;10"),AND(L161="sks&gt;10",L160="sks&lt;=10")),IF('LAMPIRAN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Besar"),1,""))))&amp;" = "&amp;K161))),"rumus")</f>
        <v>rumus</v>
      </c>
      <c r="H161" s="820" t="s">
        <v>620</v>
      </c>
      <c r="I161" s="34"/>
      <c r="J161" s="34"/>
      <c r="K161" s="27" t="str">
        <f>IF(AND(I161&lt;&gt;"",J161&lt;&gt;""),(IF(OR(AND(L161="sks&gt;10",L160="sks&lt;=10",IFERROR(SUMPRODUCT($I$157:I160,$J$157:J160)&lt;10,FALSE)),AND(L161="sks&gt;10",L160="")),(((10-SUMPRODUCT($I$157:I160,$J$157:J160))*IF('LAMPIRAN I DONE'!$F$21="Tenaga Pengajar",0.5,IF(OR('LAMPIRAN I DONE'!$F$21="Asisten Ahli",'LAMPIRAN I DONE'!$F$21="Lektor",'LAMPIRAN I DONE'!$F$21="Lektor Kepala",'LAMPIRAN I DONE'!$F$21="Guru Besar"),1,"")))+(((I161*J161)-(10-SUMPRODUCT($I$157:I160,$J$157:J160)))*IF('LAMPIRAN I DONE'!$F$21="Tenaga Pengajar",0.25,IF(OR('LAMPIRAN I DONE'!$F$21="Asisten Ahli",'LAMPIRAN I DONE'!$F$21="Lektor",'LAMPIRAN I DONE'!$F$21="Lektor Kepala",'LAMPIRAN I DONE'!$F$21="Guru Besar"),0.5,"")))),IF(OR(AND(L161="sks&gt;10",L160="sks&gt;10"),AND(L161="sks&gt;10",L160="sks&lt;=10")),I161*J161*IF('LAMPIRAN I DONE'!$F$21="Tenaga Pengajar",0.25,IF(OR('LAMPIRAN I DONE'!$F$21="Asisten Ahli",'LAMPIRAN I DONE'!$F$21="Lektor",'LAMPIRAN I DONE'!$F$21="Lektor Kepala",'LAMPIRAN I DONE'!$F$21="Guru Besar"),0.5,"")),I161*J161*IF('LAMPIRAN I DONE'!$F$21="Tenaga Pengajar",0.5,IF(OR('LAMPIRAN I DONE'!$F$21="Asisten Ahli",'LAMPIRAN I DONE'!$F$21="Lektor",'LAMPIRAN I DONE'!$F$21="Lektor Kepala",'LAMPIRAN I DONE'!$F$21="Guru Besar"),1,""))))),"rumus")</f>
        <v>rumus</v>
      </c>
      <c r="L161" s="27" t="str">
        <f>IF(AND(I161&lt;&gt;"",J161&lt;&gt;""),(IF(SUMPRODUCT($I$158:I161,$J$158:J161)&lt;=10,"SKS&lt;=10",IF(SUMPRODUCT($I$158:I161,$J$158:J161)&gt;10,"SKS&gt;10",""))),"rumus")</f>
        <v>rumus</v>
      </c>
    </row>
    <row r="162" spans="1:14" s="2" customFormat="1" ht="25.5" hidden="1" customHeight="1" x14ac:dyDescent="0.45">
      <c r="A162" s="67">
        <v>5</v>
      </c>
      <c r="B162" s="163" t="s">
        <v>81</v>
      </c>
      <c r="C162" s="28" t="s">
        <v>113</v>
      </c>
      <c r="D162" s="28" t="str">
        <f t="shared" si="24"/>
        <v/>
      </c>
      <c r="E162" s="256" t="str">
        <f>IF(K162&lt;&gt;"rumus",(IF(OR(AND(L162="sks&gt;10",L161="sks&lt;=10",IFERROR(SUMPRODUCT($I$157:I161,$J$157:J161)&lt;10,FALSE)),AND(L162="sks&gt;10",L161="")),(((10-SUMPRODUCT($I$157:I161,$J$157:J161))&amp;" x "&amp;1)&amp;"
"&amp;(((I162*J162)-(10-SUMPRODUCT($I$157:I161,$J$157:J161)))&amp;" x "&amp;1)),(I162&amp;" x "&amp;J162))),"")</f>
        <v/>
      </c>
      <c r="F162" s="256" t="str">
        <f>IF(K162&lt;&gt;"rumus",(IF(OR(AND(L162="sks&gt;10",L161="sks&lt;=10",IFERROR(SUMPRODUCT($I$157:I161,$J$157:J161)&lt;10,FALSE)),AND(L162="sks&gt;10",L161="")),((IF('LAMPIRAN I DONE'!$F$21="Tenaga Pengajar",0.5,IF(OR('LAMPIRAN I DONE'!$F$21="Asisten Ahli",'LAMPIRAN I DONE'!$F$21="Lektor",'LAMPIRAN I DONE'!$F$21="Lektor Kepala",'LAMPIRAN I DONE'!$F$21="Guru Besar"),1,"")))&amp;"
"&amp;(IF('LAMPIRAN I DONE'!$F$21="Tenaga Pengajar",0.25,IF(OR('LAMPIRAN I DONE'!$F$21="Asisten Ahli",'LAMPIRAN I DONE'!$F$21="Lektor",'LAMPIRAN I DONE'!$F$21="Lektor Kepala",'LAMPIRAN I DONE'!$F$21="Guru Besar"),0.5,"")))),((IF(OR(AND(L162="sks&gt;10",L161="sks&gt;10"),AND(L162="sks&gt;10",L161="sks&lt;=10")),IF('LAMPIRAN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f>
        <v/>
      </c>
      <c r="G162" s="105" t="str">
        <f>IF(K162&lt;&gt;"rumus",(IF(OR(AND(L162="sks&gt;10",L161="sks&lt;=10",IFERROR(SUMPRODUCT($I$157:I161,$J$157:J161)&lt;10,FALSE)),AND(L162="sks&gt;10",L161="")),(((10-SUMPRODUCT($I$157:I161,$J$157:J161))&amp;" x "&amp;1&amp;" x "&amp;IF('LAMPIRAN I DONE'!$F$21="Tenaga Pengajar",0.5,IF(OR('LAMPIRAN I DONE'!$F$21="Asisten Ahli",'LAMPIRAN I DONE'!$F$21="Lektor",'LAMPIRAN I DONE'!$F$21="Lektor Kepala",'LAMPIRAN I DONE'!$F$21="Guru Besar"),1,""))&amp;" = "&amp;((10-SUMPRODUCT($I$157:I161,$J$157:J161))*IF('LAMPIRAN I DONE'!$F$21="Tenaga Pengajar",0.5,IF(OR('LAMPIRAN I DONE'!$F$21="Asisten Ahli",'LAMPIRAN I DONE'!$F$21="Lektor",'LAMPIRAN I DONE'!$F$21="Lektor Kepala",'LAMPIRAN I DONE'!$F$21="Guru Besar"),1,""))))&amp;"
"&amp;(((I162*J162)-(10-SUMPRODUCT($I$157:I161,$J$157:J161)))&amp;" x "&amp;1&amp;" x "&amp;IF('LAMPIRAN I DONE'!$F$21="Tenaga Pengajar",0.25,IF(OR('LAMPIRAN I DONE'!$F$21="Asisten Ahli",'LAMPIRAN I DONE'!$F$21="Lektor",'LAMPIRAN I DONE'!$F$21="Lektor Kepala",'LAMPIRAN I DONE'!$F$21="Guru Besar"),0.5,""))&amp;" = "&amp;(((I162*J162)-(10-SUMPRODUCT($I$157:I161,$J$157:J161)))*IF('LAMPIRAN I DONE'!$F$21="Tenaga Pengajar",0.25,IF(OR('LAMPIRAN I DONE'!$F$21="Asisten Ahli",'LAMPIRAN I DONE'!$F$21="Lektor",'LAMPIRAN I DONE'!$F$21="Lektor Kepala",'LAMPIRAN I DONE'!$F$21="Guru Besar"),0.5,""))))),(I162&amp;" x "&amp;J162&amp;" x "&amp;(IF(OR(AND(L162="sks&gt;10",L161="sks&gt;10"),AND(L162="sks&gt;10",L161="sks&lt;=10")),IF('LAMPIRAN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Besar"),1,""))))&amp;" = "&amp;K162))),"rumus")</f>
        <v>rumus</v>
      </c>
      <c r="H162" s="820" t="s">
        <v>620</v>
      </c>
      <c r="I162" s="34"/>
      <c r="J162" s="34"/>
      <c r="K162" s="27" t="str">
        <f>IF(AND(I162&lt;&gt;"",J162&lt;&gt;""),(IF(OR(AND(L162="sks&gt;10",L161="sks&lt;=10",IFERROR(SUMPRODUCT($I$157:I161,$J$157:J161)&lt;10,FALSE)),AND(L162="sks&gt;10",L161="")),(((10-SUMPRODUCT($I$157:I161,$J$157:J161))*IF('LAMPIRAN I DONE'!$F$21="Tenaga Pengajar",0.5,IF(OR('LAMPIRAN I DONE'!$F$21="Asisten Ahli",'LAMPIRAN I DONE'!$F$21="Lektor",'LAMPIRAN I DONE'!$F$21="Lektor Kepala",'LAMPIRAN I DONE'!$F$21="Guru Besar"),1,"")))+(((I162*J162)-(10-SUMPRODUCT($I$157:I161,$J$157:J161)))*IF('LAMPIRAN I DONE'!$F$21="Tenaga Pengajar",0.25,IF(OR('LAMPIRAN I DONE'!$F$21="Asisten Ahli",'LAMPIRAN I DONE'!$F$21="Lektor",'LAMPIRAN I DONE'!$F$21="Lektor Kepala",'LAMPIRAN I DONE'!$F$21="Guru Besar"),0.5,"")))),IF(OR(AND(L162="sks&gt;10",L161="sks&gt;10"),AND(L162="sks&gt;10",L161="sks&lt;=10")),I162*J162*IF('LAMPIRAN I DONE'!$F$21="Tenaga Pengajar",0.25,IF(OR('LAMPIRAN I DONE'!$F$21="Asisten Ahli",'LAMPIRAN I DONE'!$F$21="Lektor",'LAMPIRAN I DONE'!$F$21="Lektor Kepala",'LAMPIRAN I DONE'!$F$21="Guru Besar"),0.5,"")),I162*J162*IF('LAMPIRAN I DONE'!$F$21="Tenaga Pengajar",0.5,IF(OR('LAMPIRAN I DONE'!$F$21="Asisten Ahli",'LAMPIRAN I DONE'!$F$21="Lektor",'LAMPIRAN I DONE'!$F$21="Lektor Kepala",'LAMPIRAN I DONE'!$F$21="Guru Besar"),1,""))))),"rumus")</f>
        <v>rumus</v>
      </c>
      <c r="L162" s="27" t="str">
        <f>IF(AND(I162&lt;&gt;"",J162&lt;&gt;""),(IF(SUMPRODUCT($I$158:I162,$J$158:J162)&lt;=10,"SKS&lt;=10",IF(SUMPRODUCT($I$158:I162,$J$158:J162)&gt;10,"SKS&gt;10",""))),"rumus")</f>
        <v>rumus</v>
      </c>
    </row>
    <row r="163" spans="1:14" s="2" customFormat="1" ht="25.5" hidden="1" customHeight="1" x14ac:dyDescent="0.45">
      <c r="A163" s="67">
        <v>6</v>
      </c>
      <c r="B163" s="163" t="s">
        <v>81</v>
      </c>
      <c r="C163" s="28" t="s">
        <v>113</v>
      </c>
      <c r="D163" s="28" t="str">
        <f t="shared" si="24"/>
        <v/>
      </c>
      <c r="E163" s="256" t="str">
        <f>IF(K163&lt;&gt;"rumus",(IF(OR(AND(L163="sks&gt;10",L162="sks&lt;=10",IFERROR(SUMPRODUCT($I$157:I162,$J$157:J162)&lt;10,FALSE)),AND(L163="sks&gt;10",L162="")),(((10-SUMPRODUCT($I$157:I162,$J$157:J162))&amp;" x "&amp;1)&amp;"
"&amp;(((I163*J163)-(10-SUMPRODUCT($I$157:I162,$J$157:J162)))&amp;" x "&amp;1)),(I163&amp;" x "&amp;J163))),"")</f>
        <v/>
      </c>
      <c r="F163" s="256" t="str">
        <f>IF(K163&lt;&gt;"rumus",(IF(OR(AND(L163="sks&gt;10",L162="sks&lt;=10",IFERROR(SUMPRODUCT($I$157:I162,$J$157:J162)&lt;10,FALSE)),AND(L163="sks&gt;10",L162="")),((IF('LAMPIRAN I DONE'!$F$21="Tenaga Pengajar",0.5,IF(OR('LAMPIRAN I DONE'!$F$21="Asisten Ahli",'LAMPIRAN I DONE'!$F$21="Lektor",'LAMPIRAN I DONE'!$F$21="Lektor Kepala",'LAMPIRAN I DONE'!$F$21="Guru Besar"),1,"")))&amp;"
"&amp;(IF('LAMPIRAN I DONE'!$F$21="Tenaga Pengajar",0.25,IF(OR('LAMPIRAN I DONE'!$F$21="Asisten Ahli",'LAMPIRAN I DONE'!$F$21="Lektor",'LAMPIRAN I DONE'!$F$21="Lektor Kepala",'LAMPIRAN I DONE'!$F$21="Guru Besar"),0.5,"")))),((IF(OR(AND(L163="sks&gt;10",L162="sks&gt;10"),AND(L163="sks&gt;10",L162="sks&lt;=10")),IF('LAMPIRAN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f>
        <v/>
      </c>
      <c r="G163" s="105" t="str">
        <f>IF(K163&lt;&gt;"rumus",(IF(OR(AND(L163="sks&gt;10",L162="sks&lt;=10",IFERROR(SUMPRODUCT($I$157:I162,$J$157:J162)&lt;10,FALSE)),AND(L163="sks&gt;10",L162="")),(((10-SUMPRODUCT($I$157:I162,$J$157:J162))&amp;" x "&amp;1&amp;" x "&amp;IF('LAMPIRAN I DONE'!$F$21="Tenaga Pengajar",0.5,IF(OR('LAMPIRAN I DONE'!$F$21="Asisten Ahli",'LAMPIRAN I DONE'!$F$21="Lektor",'LAMPIRAN I DONE'!$F$21="Lektor Kepala",'LAMPIRAN I DONE'!$F$21="Guru Besar"),1,""))&amp;" = "&amp;((10-SUMPRODUCT($I$157:I162,$J$157:J162))*IF('LAMPIRAN I DONE'!$F$21="Tenaga Pengajar",0.5,IF(OR('LAMPIRAN I DONE'!$F$21="Asisten Ahli",'LAMPIRAN I DONE'!$F$21="Lektor",'LAMPIRAN I DONE'!$F$21="Lektor Kepala",'LAMPIRAN I DONE'!$F$21="Guru Besar"),1,""))))&amp;"
"&amp;(((I163*J163)-(10-SUMPRODUCT($I$157:I162,$J$157:J162)))&amp;" x "&amp;1&amp;" x "&amp;IF('LAMPIRAN I DONE'!$F$21="Tenaga Pengajar",0.25,IF(OR('LAMPIRAN I DONE'!$F$21="Asisten Ahli",'LAMPIRAN I DONE'!$F$21="Lektor",'LAMPIRAN I DONE'!$F$21="Lektor Kepala",'LAMPIRAN I DONE'!$F$21="Guru Besar"),0.5,""))&amp;" = "&amp;(((I163*J163)-(10-SUMPRODUCT($I$157:I162,$J$157:J162)))*IF('LAMPIRAN I DONE'!$F$21="Tenaga Pengajar",0.25,IF(OR('LAMPIRAN I DONE'!$F$21="Asisten Ahli",'LAMPIRAN I DONE'!$F$21="Lektor",'LAMPIRAN I DONE'!$F$21="Lektor Kepala",'LAMPIRAN I DONE'!$F$21="Guru Besar"),0.5,""))))),(I163&amp;" x "&amp;J163&amp;" x "&amp;(IF(OR(AND(L163="sks&gt;10",L162="sks&gt;10"),AND(L163="sks&gt;10",L162="sks&lt;=10")),IF('LAMPIRAN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Besar"),1,""))))&amp;" = "&amp;K163))),"rumus")</f>
        <v>rumus</v>
      </c>
      <c r="H163" s="820" t="s">
        <v>620</v>
      </c>
      <c r="I163" s="34"/>
      <c r="J163" s="34"/>
      <c r="K163" s="27" t="str">
        <f>IF(AND(I163&lt;&gt;"",J163&lt;&gt;""),(IF(OR(AND(L163="sks&gt;10",L162="sks&lt;=10",IFERROR(SUMPRODUCT($I$157:I162,$J$157:J162)&lt;10,FALSE)),AND(L163="sks&gt;10",L162="")),(((10-SUMPRODUCT($I$157:I162,$J$157:J162))*IF('LAMPIRAN I DONE'!$F$21="Tenaga Pengajar",0.5,IF(OR('LAMPIRAN I DONE'!$F$21="Asisten Ahli",'LAMPIRAN I DONE'!$F$21="Lektor",'LAMPIRAN I DONE'!$F$21="Lektor Kepala",'LAMPIRAN I DONE'!$F$21="Guru Besar"),1,"")))+(((I163*J163)-(10-SUMPRODUCT($I$157:I162,$J$157:J162)))*IF('LAMPIRAN I DONE'!$F$21="Tenaga Pengajar",0.25,IF(OR('LAMPIRAN I DONE'!$F$21="Asisten Ahli",'LAMPIRAN I DONE'!$F$21="Lektor",'LAMPIRAN I DONE'!$F$21="Lektor Kepala",'LAMPIRAN I DONE'!$F$21="Guru Besar"),0.5,"")))),IF(OR(AND(L163="sks&gt;10",L162="sks&gt;10"),AND(L163="sks&gt;10",L162="sks&lt;=10")),I163*J163*IF('LAMPIRAN I DONE'!$F$21="Tenaga Pengajar",0.25,IF(OR('LAMPIRAN I DONE'!$F$21="Asisten Ahli",'LAMPIRAN I DONE'!$F$21="Lektor",'LAMPIRAN I DONE'!$F$21="Lektor Kepala",'LAMPIRAN I DONE'!$F$21="Guru Besar"),0.5,"")),I163*J163*IF('LAMPIRAN I DONE'!$F$21="Tenaga Pengajar",0.5,IF(OR('LAMPIRAN I DONE'!$F$21="Asisten Ahli",'LAMPIRAN I DONE'!$F$21="Lektor",'LAMPIRAN I DONE'!$F$21="Lektor Kepala",'LAMPIRAN I DONE'!$F$21="Guru Besar"),1,""))))),"rumus")</f>
        <v>rumus</v>
      </c>
      <c r="L163" s="27" t="str">
        <f>IF(AND(I163&lt;&gt;"",J163&lt;&gt;""),(IF(SUMPRODUCT($I$158:I163,$J$158:J163)&lt;=10,"SKS&lt;=10",IF(SUMPRODUCT($I$158:I163,$J$158:J163)&gt;10,"SKS&gt;10",""))),"rumus")</f>
        <v>rumus</v>
      </c>
    </row>
    <row r="164" spans="1:14" s="2" customFormat="1" ht="15" hidden="1" customHeight="1" x14ac:dyDescent="0.45">
      <c r="A164" s="67"/>
      <c r="B164" s="168" t="str">
        <f>"b. Semester Genap "&amp;IF(C165&lt;&gt;"",C165,"")&amp;" :"</f>
        <v>b. Semester Genap 2013/2014 :</v>
      </c>
      <c r="C164" s="111"/>
      <c r="D164" s="111"/>
      <c r="E164" s="111"/>
      <c r="F164" s="111"/>
      <c r="G164" s="111"/>
      <c r="H164" s="112"/>
      <c r="I164" s="496"/>
      <c r="J164" s="496"/>
      <c r="K164" s="109"/>
      <c r="L164" s="109"/>
      <c r="M164" s="104">
        <f>IF((AND(N164="Max 5,5",SUM(K158:K163)&lt;=5.5)),SUM(K158:K163),IF((AND(N164="Max 5,5",SUM(K158:K163)&gt;5.5)),5.5,IF((AND(N164="Max 11",SUM(K158:K163)&lt;=11)),SUM(K158:K163),IF((AND(N164="Max 11",SUM(K158:K163)&gt;11)),11,""))))</f>
        <v>0</v>
      </c>
      <c r="N164" s="33" t="str">
        <f>IF('LAMPIRAN I DONE'!$F$21="Tenaga Pengajar","Max 5,5",IF(OR('LAMPIRAN I DONE'!$F$21="Asisten Ahli",'LAMPIRAN I DONE'!$F$21="Lektor",'LAMPIRAN I DONE'!$F$21="Lektor Kepala",'LAMPIRAN I DONE'!$F$21="Guru Besar"),"Max 11",""))</f>
        <v>Max 11</v>
      </c>
    </row>
    <row r="165" spans="1:14" s="2" customFormat="1" ht="25.5" hidden="1" customHeight="1" x14ac:dyDescent="0.45">
      <c r="A165" s="67">
        <v>1</v>
      </c>
      <c r="B165" s="184" t="s">
        <v>81</v>
      </c>
      <c r="C165" s="28" t="s">
        <v>114</v>
      </c>
      <c r="D165" s="28" t="str">
        <f>IF(G165&lt;&gt;"rumus","SKS","")</f>
        <v/>
      </c>
      <c r="E165" s="256" t="str">
        <f>IF(K165&lt;&gt;"rumus",(IF(OR(AND(L165="sks&gt;10",L164="sks&lt;=10",IFERROR(SUMPRODUCT($I$164:I164,$J$164:J164)&lt;10,FALSE)),AND(L165="sks&gt;10",L164="")),(((10-SUMPRODUCT($I$164:I164,$J$164:J164))&amp;" x "&amp;1)&amp;"
"&amp;(((I165*J165)-(10-SUMPRODUCT($I$164:I164,$J$164:J164)))&amp;" x "&amp;1)),(I165&amp;" x "&amp;J165))),"")</f>
        <v/>
      </c>
      <c r="F165" s="256" t="str">
        <f>IF(K165&lt;&gt;"rumus",(IF(OR(AND(L165="sks&gt;10",L164="sks&lt;=10",IFERROR(SUMPRODUCT($I$164:I164,$J$164:J164)&lt;10,FALSE)),AND(L165="sks&gt;10",L164="")),((IF('LAMPIRAN I DONE'!$F$21="Tenaga Pengajar",0.5,IF(OR('LAMPIRAN I DONE'!$F$21="Asisten Ahli",'LAMPIRAN I DONE'!$F$21="Lektor",'LAMPIRAN I DONE'!$F$21="Lektor Kepala",'LAMPIRAN I DONE'!$F$21="Guru Besar"),1,"")))&amp;"
"&amp;(IF('LAMPIRAN I DONE'!$F$21="Tenaga Pengajar",0.25,IF(OR('LAMPIRAN I DONE'!$F$21="Asisten Ahli",'LAMPIRAN I DONE'!$F$21="Lektor",'LAMPIRAN I DONE'!$F$21="Lektor Kepala",'LAMPIRAN I DONE'!$F$21="Guru Besar"),0.5,"")))),((IF(OR(AND(L165="sks&gt;10",L164="sks&gt;10"),AND(L165="sks&gt;10",L164="sks&lt;=10")),IF('LAMPIRAN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f>
        <v/>
      </c>
      <c r="G165" s="105" t="str">
        <f>IF(K165&lt;&gt;"rumus",(IF(OR(AND(L165="sks&gt;10",L164="sks&lt;=10",IFERROR(SUMPRODUCT($I$164:I164,$J$164:J164)&lt;10,FALSE)),AND(L165="sks&gt;10",L164="")),(((10-SUMPRODUCT($I$164:I164,$J$164:J164))&amp;" x "&amp;1&amp;" x "&amp;IF('LAMPIRAN I DONE'!$F$21="Tenaga Pengajar",0.5,IF(OR('LAMPIRAN I DONE'!$F$21="Asisten Ahli",'LAMPIRAN I DONE'!$F$21="Lektor",'LAMPIRAN I DONE'!$F$21="Lektor Kepala",'LAMPIRAN I DONE'!$F$21="Guru Besar"),1,""))&amp;" = "&amp;((10-SUMPRODUCT($I$164:I164,$J$164:J164))*IF('LAMPIRAN I DONE'!$F$21="Tenaga Pengajar",0.5,IF(OR('LAMPIRAN I DONE'!$F$21="Asisten Ahli",'LAMPIRAN I DONE'!$F$21="Lektor",'LAMPIRAN I DONE'!$F$21="Lektor Kepala",'LAMPIRAN I DONE'!$F$21="Guru Besar"),1,""))))&amp;"
"&amp;(((I165*J165)-(10-SUMPRODUCT($I$164:I164,$J$164:J164)))&amp;" x "&amp;1&amp;" x "&amp;IF('LAMPIRAN I DONE'!$F$21="Tenaga Pengajar",0.25,IF(OR('LAMPIRAN I DONE'!$F$21="Asisten Ahli",'LAMPIRAN I DONE'!$F$21="Lektor",'LAMPIRAN I DONE'!$F$21="Lektor Kepala",'LAMPIRAN I DONE'!$F$21="Guru Besar"),0.5,""))&amp;" = "&amp;(((I165*J165)-(10-SUMPRODUCT($I$164:I164,$J$164:J164)))*IF('LAMPIRAN I DONE'!$F$21="Tenaga Pengajar",0.25,IF(OR('LAMPIRAN I DONE'!$F$21="Asisten Ahli",'LAMPIRAN I DONE'!$F$21="Lektor",'LAMPIRAN I DONE'!$F$21="Lektor Kepala",'LAMPIRAN I DONE'!$F$21="Guru Besar"),0.5,""))))),(I165&amp;" x "&amp;J165&amp;" x "&amp;(IF(OR(AND(L165="sks&gt;10",L164="sks&gt;10"),AND(L165="sks&gt;10",L164="sks&lt;=10")),IF('LAMPIRAN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Besar"),1,""))))&amp;" = "&amp;K165))),"rumus")</f>
        <v>rumus</v>
      </c>
      <c r="H165" s="820" t="s">
        <v>620</v>
      </c>
      <c r="I165" s="34"/>
      <c r="J165" s="34"/>
      <c r="K165" s="27" t="str">
        <f>IF(AND(I165&lt;&gt;"",J165&lt;&gt;""),(IF(OR(AND(L165="sks&gt;10",L164="sks&lt;=10",IFERROR(SUMPRODUCT($I$164:I164,$J$164:J164)&lt;10,FALSE)),AND(L165="sks&gt;10",L164="")),(((10-SUMPRODUCT($I$164:I164,$J$164:J164))*IF('LAMPIRAN I DONE'!$F$21="Tenaga Pengajar",0.5,IF(OR('LAMPIRAN I DONE'!$F$21="Asisten Ahli",'LAMPIRAN I DONE'!$F$21="Lektor",'LAMPIRAN I DONE'!$F$21="Lektor Kepala",'LAMPIRAN I DONE'!$F$21="Guru Besar"),1,"")))+(((I165*J165)-(10-SUMPRODUCT($I$164:I164,$J$164:J164)))*IF('LAMPIRAN I DONE'!$F$21="Tenaga Pengajar",0.25,IF(OR('LAMPIRAN I DONE'!$F$21="Asisten Ahli",'LAMPIRAN I DONE'!$F$21="Lektor",'LAMPIRAN I DONE'!$F$21="Lektor Kepala",'LAMPIRAN I DONE'!$F$21="Guru Besar"),0.5,"")))),IF(OR(AND(L165="sks&gt;10",L164="sks&gt;10"),AND(L165="sks&gt;10",L164="sks&lt;=10")),I165*J165*IF('LAMPIRAN I DONE'!$F$21="Tenaga Pengajar",0.25,IF(OR('LAMPIRAN I DONE'!$F$21="Asisten Ahli",'LAMPIRAN I DONE'!$F$21="Lektor",'LAMPIRAN I DONE'!$F$21="Lektor Kepala",'LAMPIRAN I DONE'!$F$21="Guru Besar"),0.5,"")),I165*J165*IF('LAMPIRAN I DONE'!$F$21="Tenaga Pengajar",0.5,IF(OR('LAMPIRAN I DONE'!$F$21="Asisten Ahli",'LAMPIRAN I DONE'!$F$21="Lektor",'LAMPIRAN I DONE'!$F$21="Lektor Kepala",'LAMPIRAN I DONE'!$F$21="Guru Besar"),1,""))))),"rumus")</f>
        <v>rumus</v>
      </c>
      <c r="L165" s="27" t="str">
        <f>IF(AND(I165&lt;&gt;"",J165&lt;&gt;""),(IF(SUMPRODUCT($I$165:I165,$J$165:J165)&lt;=10,"SKS&lt;=10",IF(SUMPRODUCT($I$165:I165,$J$165:J165)&gt;10,"SKS&gt;10",""))),"rumus")</f>
        <v>rumus</v>
      </c>
    </row>
    <row r="166" spans="1:14" s="2" customFormat="1" ht="25.5" hidden="1" customHeight="1" x14ac:dyDescent="0.45">
      <c r="A166" s="67">
        <v>2</v>
      </c>
      <c r="B166" s="184" t="s">
        <v>81</v>
      </c>
      <c r="C166" s="28" t="s">
        <v>114</v>
      </c>
      <c r="D166" s="28" t="str">
        <f t="shared" ref="D166:D170" si="25">IF(G166&lt;&gt;"rumus","SKS","")</f>
        <v/>
      </c>
      <c r="E166" s="256" t="str">
        <f>IF(K166&lt;&gt;"rumus",(IF(OR(AND(L166="sks&gt;10",L165="sks&lt;=10",IFERROR(SUMPRODUCT($I$164:I165,$J$164:J165)&lt;10,FALSE)),AND(L166="sks&gt;10",L165="")),(((10-SUMPRODUCT($I$164:I165,$J$164:J165))&amp;" x "&amp;1)&amp;"
"&amp;(((I166*J166)-(10-SUMPRODUCT($I$164:I165,$J$164:J165)))&amp;" x "&amp;1)),(I166&amp;" x "&amp;J166))),"")</f>
        <v/>
      </c>
      <c r="F166" s="256" t="str">
        <f>IF(K166&lt;&gt;"rumus",(IF(OR(AND(L166="sks&gt;10",L165="sks&lt;=10",IFERROR(SUMPRODUCT($I$164:I165,$J$164:J165)&lt;10,FALSE)),AND(L166="sks&gt;10",L165="")),((IF('LAMPIRAN I DONE'!$F$21="Tenaga Pengajar",0.5,IF(OR('LAMPIRAN I DONE'!$F$21="Asisten Ahli",'LAMPIRAN I DONE'!$F$21="Lektor",'LAMPIRAN I DONE'!$F$21="Lektor Kepala",'LAMPIRAN I DONE'!$F$21="Guru Besar"),1,"")))&amp;"
"&amp;(IF('LAMPIRAN I DONE'!$F$21="Tenaga Pengajar",0.25,IF(OR('LAMPIRAN I DONE'!$F$21="Asisten Ahli",'LAMPIRAN I DONE'!$F$21="Lektor",'LAMPIRAN I DONE'!$F$21="Lektor Kepala",'LAMPIRAN I DONE'!$F$21="Guru Besar"),0.5,"")))),((IF(OR(AND(L166="sks&gt;10",L165="sks&gt;10"),AND(L166="sks&gt;10",L165="sks&lt;=10")),IF('LAMPIRAN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f>
        <v/>
      </c>
      <c r="G166" s="105" t="str">
        <f>IF(K166&lt;&gt;"rumus",(IF(OR(AND(L166="sks&gt;10",L165="sks&lt;=10",IFERROR(SUMPRODUCT($I$164:I165,$J$164:J165)&lt;10,FALSE)),AND(L166="sks&gt;10",L165="")),(((10-SUMPRODUCT($I$164:I165,$J$164:J165))&amp;" x "&amp;1&amp;" x "&amp;IF('LAMPIRAN I DONE'!$F$21="Tenaga Pengajar",0.5,IF(OR('LAMPIRAN I DONE'!$F$21="Asisten Ahli",'LAMPIRAN I DONE'!$F$21="Lektor",'LAMPIRAN I DONE'!$F$21="Lektor Kepala",'LAMPIRAN I DONE'!$F$21="Guru Besar"),1,""))&amp;" = "&amp;((10-SUMPRODUCT($I$164:I165,$J$164:J165))*IF('LAMPIRAN I DONE'!$F$21="Tenaga Pengajar",0.5,IF(OR('LAMPIRAN I DONE'!$F$21="Asisten Ahli",'LAMPIRAN I DONE'!$F$21="Lektor",'LAMPIRAN I DONE'!$F$21="Lektor Kepala",'LAMPIRAN I DONE'!$F$21="Guru Besar"),1,""))))&amp;"
"&amp;(((I166*J166)-(10-SUMPRODUCT($I$164:I165,$J$164:J165)))&amp;" x "&amp;1&amp;" x "&amp;IF('LAMPIRAN I DONE'!$F$21="Tenaga Pengajar",0.25,IF(OR('LAMPIRAN I DONE'!$F$21="Asisten Ahli",'LAMPIRAN I DONE'!$F$21="Lektor",'LAMPIRAN I DONE'!$F$21="Lektor Kepala",'LAMPIRAN I DONE'!$F$21="Guru Besar"),0.5,""))&amp;" = "&amp;(((I166*J166)-(10-SUMPRODUCT($I$164:I165,$J$164:J165)))*IF('LAMPIRAN I DONE'!$F$21="Tenaga Pengajar",0.25,IF(OR('LAMPIRAN I DONE'!$F$21="Asisten Ahli",'LAMPIRAN I DONE'!$F$21="Lektor",'LAMPIRAN I DONE'!$F$21="Lektor Kepala",'LAMPIRAN I DONE'!$F$21="Guru Besar"),0.5,""))))),(I166&amp;" x "&amp;J166&amp;" x "&amp;(IF(OR(AND(L166="sks&gt;10",L165="sks&gt;10"),AND(L166="sks&gt;10",L165="sks&lt;=10")),IF('LAMPIRAN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Besar"),1,""))))&amp;" = "&amp;K166))),"rumus")</f>
        <v>rumus</v>
      </c>
      <c r="H166" s="820" t="s">
        <v>620</v>
      </c>
      <c r="I166" s="34"/>
      <c r="J166" s="34"/>
      <c r="K166" s="27" t="str">
        <f>IF(AND(I166&lt;&gt;"",J166&lt;&gt;""),(IF(OR(AND(L166="sks&gt;10",L165="sks&lt;=10",IFERROR(SUMPRODUCT($I$164:I165,$J$164:J165)&lt;10,FALSE)),AND(L166="sks&gt;10",L165="")),(((10-SUMPRODUCT($I$164:I165,$J$164:J165))*IF('LAMPIRAN I DONE'!$F$21="Tenaga Pengajar",0.5,IF(OR('LAMPIRAN I DONE'!$F$21="Asisten Ahli",'LAMPIRAN I DONE'!$F$21="Lektor",'LAMPIRAN I DONE'!$F$21="Lektor Kepala",'LAMPIRAN I DONE'!$F$21="Guru Besar"),1,"")))+(((I166*J166)-(10-SUMPRODUCT($I$164:I165,$J$164:J165)))*IF('LAMPIRAN I DONE'!$F$21="Tenaga Pengajar",0.25,IF(OR('LAMPIRAN I DONE'!$F$21="Asisten Ahli",'LAMPIRAN I DONE'!$F$21="Lektor",'LAMPIRAN I DONE'!$F$21="Lektor Kepala",'LAMPIRAN I DONE'!$F$21="Guru Besar"),0.5,"")))),IF(OR(AND(L166="sks&gt;10",L165="sks&gt;10"),AND(L166="sks&gt;10",L165="sks&lt;=10")),I166*J166*IF('LAMPIRAN I DONE'!$F$21="Tenaga Pengajar",0.25,IF(OR('LAMPIRAN I DONE'!$F$21="Asisten Ahli",'LAMPIRAN I DONE'!$F$21="Lektor",'LAMPIRAN I DONE'!$F$21="Lektor Kepala",'LAMPIRAN I DONE'!$F$21="Guru Besar"),0.5,"")),I166*J166*IF('LAMPIRAN I DONE'!$F$21="Tenaga Pengajar",0.5,IF(OR('LAMPIRAN I DONE'!$F$21="Asisten Ahli",'LAMPIRAN I DONE'!$F$21="Lektor",'LAMPIRAN I DONE'!$F$21="Lektor Kepala",'LAMPIRAN I DONE'!$F$21="Guru Besar"),1,""))))),"rumus")</f>
        <v>rumus</v>
      </c>
      <c r="L166" s="27" t="str">
        <f>IF(AND(I166&lt;&gt;"",J166&lt;&gt;""),(IF(SUMPRODUCT($I$165:I166,$J$165:J166)&lt;=10,"SKS&lt;=10",IF(SUMPRODUCT($I$165:I166,$J$165:J166)&gt;10,"SKS&gt;10",""))),"rumus")</f>
        <v>rumus</v>
      </c>
    </row>
    <row r="167" spans="1:14" s="2" customFormat="1" ht="25.5" hidden="1" customHeight="1" x14ac:dyDescent="0.45">
      <c r="A167" s="67">
        <v>3</v>
      </c>
      <c r="B167" s="184" t="s">
        <v>81</v>
      </c>
      <c r="C167" s="28" t="s">
        <v>114</v>
      </c>
      <c r="D167" s="28" t="str">
        <f t="shared" si="25"/>
        <v/>
      </c>
      <c r="E167" s="256" t="str">
        <f>IF(K167&lt;&gt;"rumus",(IF(OR(AND(L167="sks&gt;10",L166="sks&lt;=10",IFERROR(SUMPRODUCT($I$164:I166,$J$164:J166)&lt;10,FALSE)),AND(L167="sks&gt;10",L166="")),(((10-SUMPRODUCT($I$164:I166,$J$164:J166))&amp;" x "&amp;1)&amp;"
"&amp;(((I167*J167)-(10-SUMPRODUCT($I$164:I166,$J$164:J166)))&amp;" x "&amp;1)),(I167&amp;" x "&amp;J167))),"")</f>
        <v/>
      </c>
      <c r="F167" s="256" t="str">
        <f>IF(K167&lt;&gt;"rumus",(IF(OR(AND(L167="sks&gt;10",L166="sks&lt;=10",IFERROR(SUMPRODUCT($I$164:I166,$J$164:J166)&lt;10,FALSE)),AND(L167="sks&gt;10",L166="")),((IF('LAMPIRAN I DONE'!$F$21="Tenaga Pengajar",0.5,IF(OR('LAMPIRAN I DONE'!$F$21="Asisten Ahli",'LAMPIRAN I DONE'!$F$21="Lektor",'LAMPIRAN I DONE'!$F$21="Lektor Kepala",'LAMPIRAN I DONE'!$F$21="Guru Besar"),1,"")))&amp;"
"&amp;(IF('LAMPIRAN I DONE'!$F$21="Tenaga Pengajar",0.25,IF(OR('LAMPIRAN I DONE'!$F$21="Asisten Ahli",'LAMPIRAN I DONE'!$F$21="Lektor",'LAMPIRAN I DONE'!$F$21="Lektor Kepala",'LAMPIRAN I DONE'!$F$21="Guru Besar"),0.5,"")))),((IF(OR(AND(L167="sks&gt;10",L166="sks&gt;10"),AND(L167="sks&gt;10",L166="sks&lt;=10")),IF('LAMPIRAN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f>
        <v/>
      </c>
      <c r="G167" s="105" t="str">
        <f>IF(K167&lt;&gt;"rumus",(IF(OR(AND(L167="sks&gt;10",L166="sks&lt;=10",IFERROR(SUMPRODUCT($I$164:I166,$J$164:J166)&lt;10,FALSE)),AND(L167="sks&gt;10",L166="")),(((10-SUMPRODUCT($I$164:I166,$J$164:J166))&amp;" x "&amp;1&amp;" x "&amp;IF('LAMPIRAN I DONE'!$F$21="Tenaga Pengajar",0.5,IF(OR('LAMPIRAN I DONE'!$F$21="Asisten Ahli",'LAMPIRAN I DONE'!$F$21="Lektor",'LAMPIRAN I DONE'!$F$21="Lektor Kepala",'LAMPIRAN I DONE'!$F$21="Guru Besar"),1,""))&amp;" = "&amp;((10-SUMPRODUCT($I$164:I166,$J$164:J166))*IF('LAMPIRAN I DONE'!$F$21="Tenaga Pengajar",0.5,IF(OR('LAMPIRAN I DONE'!$F$21="Asisten Ahli",'LAMPIRAN I DONE'!$F$21="Lektor",'LAMPIRAN I DONE'!$F$21="Lektor Kepala",'LAMPIRAN I DONE'!$F$21="Guru Besar"),1,""))))&amp;"
"&amp;(((I167*J167)-(10-SUMPRODUCT($I$164:I166,$J$164:J166)))&amp;" x "&amp;1&amp;" x "&amp;IF('LAMPIRAN I DONE'!$F$21="Tenaga Pengajar",0.25,IF(OR('LAMPIRAN I DONE'!$F$21="Asisten Ahli",'LAMPIRAN I DONE'!$F$21="Lektor",'LAMPIRAN I DONE'!$F$21="Lektor Kepala",'LAMPIRAN I DONE'!$F$21="Guru Besar"),0.5,""))&amp;" = "&amp;(((I167*J167)-(10-SUMPRODUCT($I$164:I166,$J$164:J166)))*IF('LAMPIRAN I DONE'!$F$21="Tenaga Pengajar",0.25,IF(OR('LAMPIRAN I DONE'!$F$21="Asisten Ahli",'LAMPIRAN I DONE'!$F$21="Lektor",'LAMPIRAN I DONE'!$F$21="Lektor Kepala",'LAMPIRAN I DONE'!$F$21="Guru Besar"),0.5,""))))),(I167&amp;" x "&amp;J167&amp;" x "&amp;(IF(OR(AND(L167="sks&gt;10",L166="sks&gt;10"),AND(L167="sks&gt;10",L166="sks&lt;=10")),IF('LAMPIRAN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Besar"),1,""))))&amp;" = "&amp;K167))),"rumus")</f>
        <v>rumus</v>
      </c>
      <c r="H167" s="820" t="s">
        <v>620</v>
      </c>
      <c r="I167" s="34"/>
      <c r="J167" s="34"/>
      <c r="K167" s="27" t="str">
        <f>IF(AND(I167&lt;&gt;"",J167&lt;&gt;""),(IF(OR(AND(L167="sks&gt;10",L166="sks&lt;=10",IFERROR(SUMPRODUCT($I$164:I166,$J$164:J166)&lt;10,FALSE)),AND(L167="sks&gt;10",L166="")),(((10-SUMPRODUCT($I$164:I166,$J$164:J166))*IF('LAMPIRAN I DONE'!$F$21="Tenaga Pengajar",0.5,IF(OR('LAMPIRAN I DONE'!$F$21="Asisten Ahli",'LAMPIRAN I DONE'!$F$21="Lektor",'LAMPIRAN I DONE'!$F$21="Lektor Kepala",'LAMPIRAN I DONE'!$F$21="Guru Besar"),1,"")))+(((I167*J167)-(10-SUMPRODUCT($I$164:I166,$J$164:J166)))*IF('LAMPIRAN I DONE'!$F$21="Tenaga Pengajar",0.25,IF(OR('LAMPIRAN I DONE'!$F$21="Asisten Ahli",'LAMPIRAN I DONE'!$F$21="Lektor",'LAMPIRAN I DONE'!$F$21="Lektor Kepala",'LAMPIRAN I DONE'!$F$21="Guru Besar"),0.5,"")))),IF(OR(AND(L167="sks&gt;10",L166="sks&gt;10"),AND(L167="sks&gt;10",L166="sks&lt;=10")),I167*J167*IF('LAMPIRAN I DONE'!$F$21="Tenaga Pengajar",0.25,IF(OR('LAMPIRAN I DONE'!$F$21="Asisten Ahli",'LAMPIRAN I DONE'!$F$21="Lektor",'LAMPIRAN I DONE'!$F$21="Lektor Kepala",'LAMPIRAN I DONE'!$F$21="Guru Besar"),0.5,"")),I167*J167*IF('LAMPIRAN I DONE'!$F$21="Tenaga Pengajar",0.5,IF(OR('LAMPIRAN I DONE'!$F$21="Asisten Ahli",'LAMPIRAN I DONE'!$F$21="Lektor",'LAMPIRAN I DONE'!$F$21="Lektor Kepala",'LAMPIRAN I DONE'!$F$21="Guru Besar"),1,""))))),"rumus")</f>
        <v>rumus</v>
      </c>
      <c r="L167" s="27" t="str">
        <f>IF(AND(I167&lt;&gt;"",J167&lt;&gt;""),(IF(SUMPRODUCT($I$165:I167,$J$165:J167)&lt;=10,"SKS&lt;=10",IF(SUMPRODUCT($I$165:I167,$J$165:J167)&gt;10,"SKS&gt;10",""))),"rumus")</f>
        <v>rumus</v>
      </c>
    </row>
    <row r="168" spans="1:14" s="2" customFormat="1" ht="25.5" hidden="1" customHeight="1" x14ac:dyDescent="0.45">
      <c r="A168" s="67">
        <v>4</v>
      </c>
      <c r="B168" s="184" t="s">
        <v>81</v>
      </c>
      <c r="C168" s="28" t="s">
        <v>114</v>
      </c>
      <c r="D168" s="28" t="str">
        <f t="shared" si="25"/>
        <v/>
      </c>
      <c r="E168" s="256" t="str">
        <f>IF(K168&lt;&gt;"rumus",(IF(OR(AND(L168="sks&gt;10",L167="sks&lt;=10",IFERROR(SUMPRODUCT($I$164:I167,$J$164:J167)&lt;10,FALSE)),AND(L168="sks&gt;10",L167="")),(((10-SUMPRODUCT($I$164:I167,$J$164:J167))&amp;" x "&amp;1)&amp;"
"&amp;(((I168*J168)-(10-SUMPRODUCT($I$164:I167,$J$164:J167)))&amp;" x "&amp;1)),(I168&amp;" x "&amp;J168))),"")</f>
        <v/>
      </c>
      <c r="F168" s="256" t="str">
        <f>IF(K168&lt;&gt;"rumus",(IF(OR(AND(L168="sks&gt;10",L167="sks&lt;=10",IFERROR(SUMPRODUCT($I$164:I167,$J$164:J167)&lt;10,FALSE)),AND(L168="sks&gt;10",L167="")),((IF('LAMPIRAN I DONE'!$F$21="Tenaga Pengajar",0.5,IF(OR('LAMPIRAN I DONE'!$F$21="Asisten Ahli",'LAMPIRAN I DONE'!$F$21="Lektor",'LAMPIRAN I DONE'!$F$21="Lektor Kepala",'LAMPIRAN I DONE'!$F$21="Guru Besar"),1,"")))&amp;"
"&amp;(IF('LAMPIRAN I DONE'!$F$21="Tenaga Pengajar",0.25,IF(OR('LAMPIRAN I DONE'!$F$21="Asisten Ahli",'LAMPIRAN I DONE'!$F$21="Lektor",'LAMPIRAN I DONE'!$F$21="Lektor Kepala",'LAMPIRAN I DONE'!$F$21="Guru Besar"),0.5,"")))),((IF(OR(AND(L168="sks&gt;10",L167="sks&gt;10"),AND(L168="sks&gt;10",L167="sks&lt;=10")),IF('LAMPIRAN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f>
        <v/>
      </c>
      <c r="G168" s="105" t="str">
        <f>IF(K168&lt;&gt;"rumus",(IF(OR(AND(L168="sks&gt;10",L167="sks&lt;=10",IFERROR(SUMPRODUCT($I$164:I167,$J$164:J167)&lt;10,FALSE)),AND(L168="sks&gt;10",L167="")),(((10-SUMPRODUCT($I$164:I167,$J$164:J167))&amp;" x "&amp;1&amp;" x "&amp;IF('LAMPIRAN I DONE'!$F$21="Tenaga Pengajar",0.5,IF(OR('LAMPIRAN I DONE'!$F$21="Asisten Ahli",'LAMPIRAN I DONE'!$F$21="Lektor",'LAMPIRAN I DONE'!$F$21="Lektor Kepala",'LAMPIRAN I DONE'!$F$21="Guru Besar"),1,""))&amp;" = "&amp;((10-SUMPRODUCT($I$164:I167,$J$164:J167))*IF('LAMPIRAN I DONE'!$F$21="Tenaga Pengajar",0.5,IF(OR('LAMPIRAN I DONE'!$F$21="Asisten Ahli",'LAMPIRAN I DONE'!$F$21="Lektor",'LAMPIRAN I DONE'!$F$21="Lektor Kepala",'LAMPIRAN I DONE'!$F$21="Guru Besar"),1,""))))&amp;"
"&amp;(((I168*J168)-(10-SUMPRODUCT($I$164:I167,$J$164:J167)))&amp;" x "&amp;1&amp;" x "&amp;IF('LAMPIRAN I DONE'!$F$21="Tenaga Pengajar",0.25,IF(OR('LAMPIRAN I DONE'!$F$21="Asisten Ahli",'LAMPIRAN I DONE'!$F$21="Lektor",'LAMPIRAN I DONE'!$F$21="Lektor Kepala",'LAMPIRAN I DONE'!$F$21="Guru Besar"),0.5,""))&amp;" = "&amp;(((I168*J168)-(10-SUMPRODUCT($I$164:I167,$J$164:J167)))*IF('LAMPIRAN I DONE'!$F$21="Tenaga Pengajar",0.25,IF(OR('LAMPIRAN I DONE'!$F$21="Asisten Ahli",'LAMPIRAN I DONE'!$F$21="Lektor",'LAMPIRAN I DONE'!$F$21="Lektor Kepala",'LAMPIRAN I DONE'!$F$21="Guru Besar"),0.5,""))))),(I168&amp;" x "&amp;J168&amp;" x "&amp;(IF(OR(AND(L168="sks&gt;10",L167="sks&gt;10"),AND(L168="sks&gt;10",L167="sks&lt;=10")),IF('LAMPIRAN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Besar"),1,""))))&amp;" = "&amp;K168))),"rumus")</f>
        <v>rumus</v>
      </c>
      <c r="H168" s="820" t="s">
        <v>620</v>
      </c>
      <c r="I168" s="34"/>
      <c r="J168" s="34"/>
      <c r="K168" s="27" t="str">
        <f>IF(AND(I168&lt;&gt;"",J168&lt;&gt;""),(IF(OR(AND(L168="sks&gt;10",L167="sks&lt;=10",IFERROR(SUMPRODUCT($I$164:I167,$J$164:J167)&lt;10,FALSE)),AND(L168="sks&gt;10",L167="")),(((10-SUMPRODUCT($I$164:I167,$J$164:J167))*IF('LAMPIRAN I DONE'!$F$21="Tenaga Pengajar",0.5,IF(OR('LAMPIRAN I DONE'!$F$21="Asisten Ahli",'LAMPIRAN I DONE'!$F$21="Lektor",'LAMPIRAN I DONE'!$F$21="Lektor Kepala",'LAMPIRAN I DONE'!$F$21="Guru Besar"),1,"")))+(((I168*J168)-(10-SUMPRODUCT($I$164:I167,$J$164:J167)))*IF('LAMPIRAN I DONE'!$F$21="Tenaga Pengajar",0.25,IF(OR('LAMPIRAN I DONE'!$F$21="Asisten Ahli",'LAMPIRAN I DONE'!$F$21="Lektor",'LAMPIRAN I DONE'!$F$21="Lektor Kepala",'LAMPIRAN I DONE'!$F$21="Guru Besar"),0.5,"")))),IF(OR(AND(L168="sks&gt;10",L167="sks&gt;10"),AND(L168="sks&gt;10",L167="sks&lt;=10")),I168*J168*IF('LAMPIRAN I DONE'!$F$21="Tenaga Pengajar",0.25,IF(OR('LAMPIRAN I DONE'!$F$21="Asisten Ahli",'LAMPIRAN I DONE'!$F$21="Lektor",'LAMPIRAN I DONE'!$F$21="Lektor Kepala",'LAMPIRAN I DONE'!$F$21="Guru Besar"),0.5,"")),I168*J168*IF('LAMPIRAN I DONE'!$F$21="Tenaga Pengajar",0.5,IF(OR('LAMPIRAN I DONE'!$F$21="Asisten Ahli",'LAMPIRAN I DONE'!$F$21="Lektor",'LAMPIRAN I DONE'!$F$21="Lektor Kepala",'LAMPIRAN I DONE'!$F$21="Guru Besar"),1,""))))),"rumus")</f>
        <v>rumus</v>
      </c>
      <c r="L168" s="27" t="str">
        <f>IF(AND(I168&lt;&gt;"",J168&lt;&gt;""),(IF(SUMPRODUCT($I$165:I168,$J$165:J168)&lt;=10,"SKS&lt;=10",IF(SUMPRODUCT($I$165:I168,$J$165:J168)&gt;10,"SKS&gt;10",""))),"rumus")</f>
        <v>rumus</v>
      </c>
    </row>
    <row r="169" spans="1:14" s="2" customFormat="1" ht="25.5" hidden="1" customHeight="1" x14ac:dyDescent="0.45">
      <c r="A169" s="67">
        <v>5</v>
      </c>
      <c r="B169" s="163" t="s">
        <v>81</v>
      </c>
      <c r="C169" s="28" t="s">
        <v>114</v>
      </c>
      <c r="D169" s="28" t="str">
        <f t="shared" si="25"/>
        <v/>
      </c>
      <c r="E169" s="256" t="str">
        <f>IF(K169&lt;&gt;"rumus",(IF(OR(AND(L169="sks&gt;10",L168="sks&lt;=10",IFERROR(SUMPRODUCT($I$164:I168,$J$164:J168)&lt;10,FALSE)),AND(L169="sks&gt;10",L168="")),(((10-SUMPRODUCT($I$164:I168,$J$164:J168))&amp;" x "&amp;1)&amp;"
"&amp;(((I169*J169)-(10-SUMPRODUCT($I$164:I168,$J$164:J168)))&amp;" x "&amp;1)),(I169&amp;" x "&amp;J169))),"")</f>
        <v/>
      </c>
      <c r="F169" s="256" t="str">
        <f>IF(K169&lt;&gt;"rumus",(IF(OR(AND(L169="sks&gt;10",L168="sks&lt;=10",IFERROR(SUMPRODUCT($I$164:I168,$J$164:J168)&lt;10,FALSE)),AND(L169="sks&gt;10",L168="")),((IF('LAMPIRAN I DONE'!$F$21="Tenaga Pengajar",0.5,IF(OR('LAMPIRAN I DONE'!$F$21="Asisten Ahli",'LAMPIRAN I DONE'!$F$21="Lektor",'LAMPIRAN I DONE'!$F$21="Lektor Kepala",'LAMPIRAN I DONE'!$F$21="Guru Besar"),1,"")))&amp;"
"&amp;(IF('LAMPIRAN I DONE'!$F$21="Tenaga Pengajar",0.25,IF(OR('LAMPIRAN I DONE'!$F$21="Asisten Ahli",'LAMPIRAN I DONE'!$F$21="Lektor",'LAMPIRAN I DONE'!$F$21="Lektor Kepala",'LAMPIRAN I DONE'!$F$21="Guru Besar"),0.5,"")))),((IF(OR(AND(L169="sks&gt;10",L168="sks&gt;10"),AND(L169="sks&gt;10",L168="sks&lt;=10")),IF('LAMPIRAN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f>
        <v/>
      </c>
      <c r="G169" s="105" t="str">
        <f>IF(K169&lt;&gt;"rumus",(IF(OR(AND(L169="sks&gt;10",L168="sks&lt;=10",IFERROR(SUMPRODUCT($I$164:I168,$J$164:J168)&lt;10,FALSE)),AND(L169="sks&gt;10",L168="")),(((10-SUMPRODUCT($I$164:I168,$J$164:J168))&amp;" x "&amp;1&amp;" x "&amp;IF('LAMPIRAN I DONE'!$F$21="Tenaga Pengajar",0.5,IF(OR('LAMPIRAN I DONE'!$F$21="Asisten Ahli",'LAMPIRAN I DONE'!$F$21="Lektor",'LAMPIRAN I DONE'!$F$21="Lektor Kepala",'LAMPIRAN I DONE'!$F$21="Guru Besar"),1,""))&amp;" = "&amp;((10-SUMPRODUCT($I$164:I168,$J$164:J168))*IF('LAMPIRAN I DONE'!$F$21="Tenaga Pengajar",0.5,IF(OR('LAMPIRAN I DONE'!$F$21="Asisten Ahli",'LAMPIRAN I DONE'!$F$21="Lektor",'LAMPIRAN I DONE'!$F$21="Lektor Kepala",'LAMPIRAN I DONE'!$F$21="Guru Besar"),1,""))))&amp;"
"&amp;(((I169*J169)-(10-SUMPRODUCT($I$164:I168,$J$164:J168)))&amp;" x "&amp;1&amp;" x "&amp;IF('LAMPIRAN I DONE'!$F$21="Tenaga Pengajar",0.25,IF(OR('LAMPIRAN I DONE'!$F$21="Asisten Ahli",'LAMPIRAN I DONE'!$F$21="Lektor",'LAMPIRAN I DONE'!$F$21="Lektor Kepala",'LAMPIRAN I DONE'!$F$21="Guru Besar"),0.5,""))&amp;" = "&amp;(((I169*J169)-(10-SUMPRODUCT($I$164:I168,$J$164:J168)))*IF('LAMPIRAN I DONE'!$F$21="Tenaga Pengajar",0.25,IF(OR('LAMPIRAN I DONE'!$F$21="Asisten Ahli",'LAMPIRAN I DONE'!$F$21="Lektor",'LAMPIRAN I DONE'!$F$21="Lektor Kepala",'LAMPIRAN I DONE'!$F$21="Guru Besar"),0.5,""))))),(I169&amp;" x "&amp;J169&amp;" x "&amp;(IF(OR(AND(L169="sks&gt;10",L168="sks&gt;10"),AND(L169="sks&gt;10",L168="sks&lt;=10")),IF('LAMPIRAN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Besar"),1,""))))&amp;" = "&amp;K169))),"rumus")</f>
        <v>rumus</v>
      </c>
      <c r="H169" s="820" t="s">
        <v>620</v>
      </c>
      <c r="I169" s="34"/>
      <c r="J169" s="34"/>
      <c r="K169" s="27" t="str">
        <f>IF(AND(I169&lt;&gt;"",J169&lt;&gt;""),(IF(OR(AND(L169="sks&gt;10",L168="sks&lt;=10",IFERROR(SUMPRODUCT($I$164:I168,$J$164:J168)&lt;10,FALSE)),AND(L169="sks&gt;10",L168="")),(((10-SUMPRODUCT($I$164:I168,$J$164:J168))*IF('LAMPIRAN I DONE'!$F$21="Tenaga Pengajar",0.5,IF(OR('LAMPIRAN I DONE'!$F$21="Asisten Ahli",'LAMPIRAN I DONE'!$F$21="Lektor",'LAMPIRAN I DONE'!$F$21="Lektor Kepala",'LAMPIRAN I DONE'!$F$21="Guru Besar"),1,"")))+(((I169*J169)-(10-SUMPRODUCT($I$164:I168,$J$164:J168)))*IF('LAMPIRAN I DONE'!$F$21="Tenaga Pengajar",0.25,IF(OR('LAMPIRAN I DONE'!$F$21="Asisten Ahli",'LAMPIRAN I DONE'!$F$21="Lektor",'LAMPIRAN I DONE'!$F$21="Lektor Kepala",'LAMPIRAN I DONE'!$F$21="Guru Besar"),0.5,"")))),IF(OR(AND(L169="sks&gt;10",L168="sks&gt;10"),AND(L169="sks&gt;10",L168="sks&lt;=10")),I169*J169*IF('LAMPIRAN I DONE'!$F$21="Tenaga Pengajar",0.25,IF(OR('LAMPIRAN I DONE'!$F$21="Asisten Ahli",'LAMPIRAN I DONE'!$F$21="Lektor",'LAMPIRAN I DONE'!$F$21="Lektor Kepala",'LAMPIRAN I DONE'!$F$21="Guru Besar"),0.5,"")),I169*J169*IF('LAMPIRAN I DONE'!$F$21="Tenaga Pengajar",0.5,IF(OR('LAMPIRAN I DONE'!$F$21="Asisten Ahli",'LAMPIRAN I DONE'!$F$21="Lektor",'LAMPIRAN I DONE'!$F$21="Lektor Kepala",'LAMPIRAN I DONE'!$F$21="Guru Besar"),1,""))))),"rumus")</f>
        <v>rumus</v>
      </c>
      <c r="L169" s="27" t="str">
        <f>IF(AND(I169&lt;&gt;"",J169&lt;&gt;""),(IF(SUMPRODUCT($I$165:I169,$J$165:J169)&lt;=10,"SKS&lt;=10",IF(SUMPRODUCT($I$165:I169,$J$165:J169)&gt;10,"SKS&gt;10",""))),"rumus")</f>
        <v>rumus</v>
      </c>
    </row>
    <row r="170" spans="1:14" s="2" customFormat="1" ht="25.5" hidden="1" customHeight="1" x14ac:dyDescent="0.45">
      <c r="A170" s="67">
        <v>6</v>
      </c>
      <c r="B170" s="184" t="s">
        <v>81</v>
      </c>
      <c r="C170" s="28" t="s">
        <v>114</v>
      </c>
      <c r="D170" s="28" t="str">
        <f t="shared" si="25"/>
        <v/>
      </c>
      <c r="E170" s="256" t="str">
        <f>IF(K170&lt;&gt;"rumus",(IF(OR(AND(L170="sks&gt;10",L169="sks&lt;=10",IFERROR(SUMPRODUCT($I$164:I169,$J$164:J169)&lt;10,FALSE)),AND(L170="sks&gt;10",L169="")),(((10-SUMPRODUCT($I$164:I169,$J$164:J169))&amp;" x "&amp;1)&amp;"
"&amp;(((I170*J170)-(10-SUMPRODUCT($I$164:I169,$J$164:J169)))&amp;" x "&amp;1)),(I170&amp;" x "&amp;J170))),"")</f>
        <v/>
      </c>
      <c r="F170" s="256" t="str">
        <f>IF(K170&lt;&gt;"rumus",(IF(OR(AND(L170="sks&gt;10",L169="sks&lt;=10",IFERROR(SUMPRODUCT($I$164:I169,$J$164:J169)&lt;10,FALSE)),AND(L170="sks&gt;10",L169="")),((IF('LAMPIRAN I DONE'!$F$21="Tenaga Pengajar",0.5,IF(OR('LAMPIRAN I DONE'!$F$21="Asisten Ahli",'LAMPIRAN I DONE'!$F$21="Lektor",'LAMPIRAN I DONE'!$F$21="Lektor Kepala",'LAMPIRAN I DONE'!$F$21="Guru Besar"),1,"")))&amp;"
"&amp;(IF('LAMPIRAN I DONE'!$F$21="Tenaga Pengajar",0.25,IF(OR('LAMPIRAN I DONE'!$F$21="Asisten Ahli",'LAMPIRAN I DONE'!$F$21="Lektor",'LAMPIRAN I DONE'!$F$21="Lektor Kepala",'LAMPIRAN I DONE'!$F$21="Guru Besar"),0.5,"")))),((IF(OR(AND(L170="sks&gt;10",L169="sks&gt;10"),AND(L170="sks&gt;10",L169="sks&lt;=10")),IF('LAMPIRAN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f>
        <v/>
      </c>
      <c r="G170" s="105" t="str">
        <f>IF(K170&lt;&gt;"rumus",(IF(OR(AND(L170="sks&gt;10",L169="sks&lt;=10",IFERROR(SUMPRODUCT($I$164:I169,$J$164:J169)&lt;10,FALSE)),AND(L170="sks&gt;10",L169="")),(((10-SUMPRODUCT($I$164:I169,$J$164:J169))&amp;" x "&amp;1&amp;" x "&amp;IF('LAMPIRAN I DONE'!$F$21="Tenaga Pengajar",0.5,IF(OR('LAMPIRAN I DONE'!$F$21="Asisten Ahli",'LAMPIRAN I DONE'!$F$21="Lektor",'LAMPIRAN I DONE'!$F$21="Lektor Kepala",'LAMPIRAN I DONE'!$F$21="Guru Besar"),1,""))&amp;" = "&amp;((10-SUMPRODUCT($I$164:I169,$J$164:J169))*IF('LAMPIRAN I DONE'!$F$21="Tenaga Pengajar",0.5,IF(OR('LAMPIRAN I DONE'!$F$21="Asisten Ahli",'LAMPIRAN I DONE'!$F$21="Lektor",'LAMPIRAN I DONE'!$F$21="Lektor Kepala",'LAMPIRAN I DONE'!$F$21="Guru Besar"),1,""))))&amp;"
"&amp;(((I170*J170)-(10-SUMPRODUCT($I$164:I169,$J$164:J169)))&amp;" x "&amp;1&amp;" x "&amp;IF('LAMPIRAN I DONE'!$F$21="Tenaga Pengajar",0.25,IF(OR('LAMPIRAN I DONE'!$F$21="Asisten Ahli",'LAMPIRAN I DONE'!$F$21="Lektor",'LAMPIRAN I DONE'!$F$21="Lektor Kepala",'LAMPIRAN I DONE'!$F$21="Guru Besar"),0.5,""))&amp;" = "&amp;(((I170*J170)-(10-SUMPRODUCT($I$164:I169,$J$164:J169)))*IF('LAMPIRAN I DONE'!$F$21="Tenaga Pengajar",0.25,IF(OR('LAMPIRAN I DONE'!$F$21="Asisten Ahli",'LAMPIRAN I DONE'!$F$21="Lektor",'LAMPIRAN I DONE'!$F$21="Lektor Kepala",'LAMPIRAN I DONE'!$F$21="Guru Besar"),0.5,""))))),(I170&amp;" x "&amp;J170&amp;" x "&amp;(IF(OR(AND(L170="sks&gt;10",L169="sks&gt;10"),AND(L170="sks&gt;10",L169="sks&lt;=10")),IF('LAMPIRAN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Besar"),1,""))))&amp;" = "&amp;K170))),"rumus")</f>
        <v>rumus</v>
      </c>
      <c r="H170" s="820" t="s">
        <v>620</v>
      </c>
      <c r="I170" s="34"/>
      <c r="J170" s="34"/>
      <c r="K170" s="27" t="str">
        <f>IF(AND(I170&lt;&gt;"",J170&lt;&gt;""),(IF(OR(AND(L170="sks&gt;10",L169="sks&lt;=10",IFERROR(SUMPRODUCT($I$164:I169,$J$164:J169)&lt;10,FALSE)),AND(L170="sks&gt;10",L169="")),(((10-SUMPRODUCT($I$164:I169,$J$164:J169))*IF('LAMPIRAN I DONE'!$F$21="Tenaga Pengajar",0.5,IF(OR('LAMPIRAN I DONE'!$F$21="Asisten Ahli",'LAMPIRAN I DONE'!$F$21="Lektor",'LAMPIRAN I DONE'!$F$21="Lektor Kepala",'LAMPIRAN I DONE'!$F$21="Guru Besar"),1,"")))+(((I170*J170)-(10-SUMPRODUCT($I$164:I169,$J$164:J169)))*IF('LAMPIRAN I DONE'!$F$21="Tenaga Pengajar",0.25,IF(OR('LAMPIRAN I DONE'!$F$21="Asisten Ahli",'LAMPIRAN I DONE'!$F$21="Lektor",'LAMPIRAN I DONE'!$F$21="Lektor Kepala",'LAMPIRAN I DONE'!$F$21="Guru Besar"),0.5,"")))),IF(OR(AND(L170="sks&gt;10",L169="sks&gt;10"),AND(L170="sks&gt;10",L169="sks&lt;=10")),I170*J170*IF('LAMPIRAN I DONE'!$F$21="Tenaga Pengajar",0.25,IF(OR('LAMPIRAN I DONE'!$F$21="Asisten Ahli",'LAMPIRAN I DONE'!$F$21="Lektor",'LAMPIRAN I DONE'!$F$21="Lektor Kepala",'LAMPIRAN I DONE'!$F$21="Guru Besar"),0.5,"")),I170*J170*IF('LAMPIRAN I DONE'!$F$21="Tenaga Pengajar",0.5,IF(OR('LAMPIRAN I DONE'!$F$21="Asisten Ahli",'LAMPIRAN I DONE'!$F$21="Lektor",'LAMPIRAN I DONE'!$F$21="Lektor Kepala",'LAMPIRAN I DONE'!$F$21="Guru Besar"),1,""))))),"rumus")</f>
        <v>rumus</v>
      </c>
      <c r="L170" s="27" t="str">
        <f>IF(AND(I170&lt;&gt;"",J170&lt;&gt;""),(IF(SUMPRODUCT($I$165:I170,$J$165:J170)&lt;=10,"SKS&lt;=10",IF(SUMPRODUCT($I$165:I170,$J$165:J170)&gt;10,"SKS&gt;10",""))),"rumus")</f>
        <v>rumus</v>
      </c>
    </row>
    <row r="171" spans="1:14" s="2" customFormat="1" ht="15" hidden="1" customHeight="1" x14ac:dyDescent="0.45">
      <c r="A171" s="67"/>
      <c r="B171" s="168" t="str">
        <f>"b. Semester Genap "&amp;IF(C172&lt;&gt;"",C172,"")&amp;" :"</f>
        <v>b. Semester Genap 2014/2015 :</v>
      </c>
      <c r="C171" s="30"/>
      <c r="D171" s="30"/>
      <c r="E171" s="30"/>
      <c r="F171" s="30"/>
      <c r="G171" s="30"/>
      <c r="H171" s="54"/>
      <c r="I171" s="496"/>
      <c r="J171" s="496"/>
      <c r="M171" s="104">
        <f>IF((AND(N171="Max 5,5",SUM(K165:K170)&lt;=5.5)),SUM(K165:K170),IF((AND(N171="Max 5,5",SUM(K165:K170)&gt;5.5)),5.5,IF((AND(N171="Max 11",SUM(K165:K170)&lt;=11)),SUM(K165:K170),IF((AND(N171="Max 11",SUM(K165:K170)&gt;11)),11,""))))</f>
        <v>0</v>
      </c>
      <c r="N171" s="33" t="str">
        <f>IF('LAMPIRAN I DONE'!$F$21="Tenaga Pengajar","Max 5,5",IF(OR('LAMPIRAN I DONE'!$F$21="Asisten Ahli",'LAMPIRAN I DONE'!$F$21="Lektor",'LAMPIRAN I DONE'!$F$21="Lektor Kepala",'LAMPIRAN I DONE'!$F$21="Guru Besar"),"Max 11",""))</f>
        <v>Max 11</v>
      </c>
    </row>
    <row r="172" spans="1:14" s="2" customFormat="1" ht="25.5" hidden="1" customHeight="1" x14ac:dyDescent="0.45">
      <c r="A172" s="67">
        <v>1</v>
      </c>
      <c r="B172" s="163" t="s">
        <v>81</v>
      </c>
      <c r="C172" s="28" t="s">
        <v>251</v>
      </c>
      <c r="D172" s="28" t="str">
        <f>IF(G172&lt;&gt;"rumus","SKS","")</f>
        <v/>
      </c>
      <c r="E172" s="256" t="str">
        <f>IF(K172&lt;&gt;"rumus",(IF(OR(AND(L172="sks&gt;10",L171="sks&lt;=10",IFERROR(SUMPRODUCT($I$171:I171,$J$171:J171)&lt;10,FALSE)),AND(L172="sks&gt;10",L171="")),(((10-SUMPRODUCT($I$171:I171,$J$171:J171))&amp;" x "&amp;1)&amp;"
"&amp;(((I172*J172)-(10-SUMPRODUCT($I$171:I171,$J$171:J171)))&amp;" x "&amp;1)),(I172&amp;" x "&amp;J172))),"")</f>
        <v/>
      </c>
      <c r="F172" s="256" t="str">
        <f>IF(K172&lt;&gt;"rumus",(IF(OR(AND(L172="sks&gt;10",L171="sks&lt;=10",IFERROR(SUMPRODUCT($I$171:I171,$J$171:J171)&lt;10,FALSE)),AND(L172="sks&gt;10",L171="")),((IF('LAMPIRAN I DONE'!$F$21="Tenaga Pengajar",0.5,IF(OR('LAMPIRAN I DONE'!$F$21="Asisten Ahli",'LAMPIRAN I DONE'!$F$21="Lektor",'LAMPIRAN I DONE'!$F$21="Lektor Kepala",'LAMPIRAN I DONE'!$F$21="Guru Besar"),1,"")))&amp;"
"&amp;(IF('LAMPIRAN I DONE'!$F$21="Tenaga Pengajar",0.25,IF(OR('LAMPIRAN I DONE'!$F$21="Asisten Ahli",'LAMPIRAN I DONE'!$F$21="Lektor",'LAMPIRAN I DONE'!$F$21="Lektor Kepala",'LAMPIRAN I DONE'!$F$21="Guru Besar"),0.5,"")))),((IF(OR(AND(L172="sks&gt;10",L171="sks&gt;10"),AND(L172="sks&gt;10",L171="sks&lt;=10")),IF('LAMPIRAN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f>
        <v/>
      </c>
      <c r="G172" s="105" t="str">
        <f>IF(K172&lt;&gt;"rumus",(IF(OR(AND(L172="sks&gt;10",L171="sks&lt;=10",IFERROR(SUMPRODUCT($I$171:I171,$J$171:J171)&lt;10,FALSE)),AND(L172="sks&gt;10",L171="")),(((10-SUMPRODUCT($I$171:I171,$J$171:J171))&amp;" x "&amp;1&amp;" x "&amp;IF('LAMPIRAN I DONE'!$F$21="Tenaga Pengajar",0.5,IF(OR('LAMPIRAN I DONE'!$F$21="Asisten Ahli",'LAMPIRAN I DONE'!$F$21="Lektor",'LAMPIRAN I DONE'!$F$21="Lektor Kepala",'LAMPIRAN I DONE'!$F$21="Guru Besar"),1,""))&amp;" = "&amp;((10-SUMPRODUCT($I$171:I171,$J$171:J171))*IF('LAMPIRAN I DONE'!$F$21="Tenaga Pengajar",0.5,IF(OR('LAMPIRAN I DONE'!$F$21="Asisten Ahli",'LAMPIRAN I DONE'!$F$21="Lektor",'LAMPIRAN I DONE'!$F$21="Lektor Kepala",'LAMPIRAN I DONE'!$F$21="Guru Besar"),1,""))))&amp;"
"&amp;(((I172*J172)-(10-SUMPRODUCT($I$171:I171,$J$171:J171)))&amp;" x "&amp;1&amp;" x "&amp;IF('LAMPIRAN I DONE'!$F$21="Tenaga Pengajar",0.25,IF(OR('LAMPIRAN I DONE'!$F$21="Asisten Ahli",'LAMPIRAN I DONE'!$F$21="Lektor",'LAMPIRAN I DONE'!$F$21="Lektor Kepala",'LAMPIRAN I DONE'!$F$21="Guru Besar"),0.5,""))&amp;" = "&amp;(((I172*J172)-(10-SUMPRODUCT($I$171:I171,$J$171:J171)))*IF('LAMPIRAN I DONE'!$F$21="Tenaga Pengajar",0.25,IF(OR('LAMPIRAN I DONE'!$F$21="Asisten Ahli",'LAMPIRAN I DONE'!$F$21="Lektor",'LAMPIRAN I DONE'!$F$21="Lektor Kepala",'LAMPIRAN I DONE'!$F$21="Guru Besar"),0.5,""))))),(I172&amp;" x "&amp;J172&amp;" x "&amp;(IF(OR(AND(L172="sks&gt;10",L171="sks&gt;10"),AND(L172="sks&gt;10",L171="sks&lt;=10")),IF('LAMPIRAN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Besar"),1,""))))&amp;" = "&amp;K172))),"rumus")</f>
        <v>rumus</v>
      </c>
      <c r="H172" s="820" t="s">
        <v>620</v>
      </c>
      <c r="I172" s="34"/>
      <c r="J172" s="34"/>
      <c r="K172" s="27" t="str">
        <f>IF(AND(I172&lt;&gt;"",J172&lt;&gt;""),(IF(OR(AND(L172="sks&gt;10",L171="sks&lt;=10",IFERROR(SUMPRODUCT($I$171:I171,$J$171:J171)&lt;10,FALSE)),AND(L172="sks&gt;10",L171="")),(((10-SUMPRODUCT($I$171:I171,$J$171:J171))*IF('LAMPIRAN I DONE'!$F$21="Tenaga Pengajar",0.5,IF(OR('LAMPIRAN I DONE'!$F$21="Asisten Ahli",'LAMPIRAN I DONE'!$F$21="Lektor",'LAMPIRAN I DONE'!$F$21="Lektor Kepala",'LAMPIRAN I DONE'!$F$21="Guru Besar"),1,"")))+(((I172*J172)-(10-SUMPRODUCT($I$171:I171,$J$171:J171)))*IF('LAMPIRAN I DONE'!$F$21="Tenaga Pengajar",0.25,IF(OR('LAMPIRAN I DONE'!$F$21="Asisten Ahli",'LAMPIRAN I DONE'!$F$21="Lektor",'LAMPIRAN I DONE'!$F$21="Lektor Kepala",'LAMPIRAN I DONE'!$F$21="Guru Besar"),0.5,"")))),IF(OR(AND(L172="sks&gt;10",L171="sks&gt;10"),AND(L172="sks&gt;10",L171="sks&lt;=10")),I172*J172*IF('LAMPIRAN I DONE'!$F$21="Tenaga Pengajar",0.25,IF(OR('LAMPIRAN I DONE'!$F$21="Asisten Ahli",'LAMPIRAN I DONE'!$F$21="Lektor",'LAMPIRAN I DONE'!$F$21="Lektor Kepala",'LAMPIRAN I DONE'!$F$21="Guru Besar"),0.5,"")),I172*J172*IF('LAMPIRAN I DONE'!$F$21="Tenaga Pengajar",0.5,IF(OR('LAMPIRAN I DONE'!$F$21="Asisten Ahli",'LAMPIRAN I DONE'!$F$21="Lektor",'LAMPIRAN I DONE'!$F$21="Lektor Kepala",'LAMPIRAN I DONE'!$F$21="Guru Besar"),1,""))))),"rumus")</f>
        <v>rumus</v>
      </c>
      <c r="L172" s="27" t="str">
        <f>IF(AND(I172&lt;&gt;"",J172&lt;&gt;""),(IF(SUMPRODUCT($I$172:I172,$J$172:J172)&lt;=10,"SKS&lt;=10",IF(SUMPRODUCT($I$172:I172,$J$172:J172)&gt;10,"SKS&gt;10",""))),"rumus")</f>
        <v>rumus</v>
      </c>
    </row>
    <row r="173" spans="1:14" s="2" customFormat="1" ht="25.5" hidden="1" customHeight="1" x14ac:dyDescent="0.45">
      <c r="A173" s="67">
        <v>2</v>
      </c>
      <c r="B173" s="163" t="s">
        <v>81</v>
      </c>
      <c r="C173" s="28" t="s">
        <v>251</v>
      </c>
      <c r="D173" s="28" t="str">
        <f t="shared" ref="D173:D177" si="26">IF(G173&lt;&gt;"rumus","SKS","")</f>
        <v/>
      </c>
      <c r="E173" s="256" t="str">
        <f>IF(K173&lt;&gt;"rumus",(IF(OR(AND(L173="sks&gt;10",L172="sks&lt;=10",IFERROR(SUMPRODUCT($I$171:I172,$J$171:J172)&lt;10,FALSE)),AND(L173="sks&gt;10",L172="")),(((10-SUMPRODUCT($I$171:I172,$J$171:J172))&amp;" x "&amp;1)&amp;"
"&amp;(((I173*J173)-(10-SUMPRODUCT($I$171:I172,$J$171:J172)))&amp;" x "&amp;1)),(I173&amp;" x "&amp;J173))),"")</f>
        <v/>
      </c>
      <c r="F173" s="256" t="str">
        <f>IF(K173&lt;&gt;"rumus",(IF(OR(AND(L173="sks&gt;10",L172="sks&lt;=10",IFERROR(SUMPRODUCT($I$171:I172,$J$171:J172)&lt;10,FALSE)),AND(L173="sks&gt;10",L172="")),((IF('LAMPIRAN I DONE'!$F$21="Tenaga Pengajar",0.5,IF(OR('LAMPIRAN I DONE'!$F$21="Asisten Ahli",'LAMPIRAN I DONE'!$F$21="Lektor",'LAMPIRAN I DONE'!$F$21="Lektor Kepala",'LAMPIRAN I DONE'!$F$21="Guru Besar"),1,"")))&amp;"
"&amp;(IF('LAMPIRAN I DONE'!$F$21="Tenaga Pengajar",0.25,IF(OR('LAMPIRAN I DONE'!$F$21="Asisten Ahli",'LAMPIRAN I DONE'!$F$21="Lektor",'LAMPIRAN I DONE'!$F$21="Lektor Kepala",'LAMPIRAN I DONE'!$F$21="Guru Besar"),0.5,"")))),((IF(OR(AND(L173="sks&gt;10",L172="sks&gt;10"),AND(L173="sks&gt;10",L172="sks&lt;=10")),IF('LAMPIRAN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f>
        <v/>
      </c>
      <c r="G173" s="105" t="str">
        <f>IF(K173&lt;&gt;"rumus",(IF(OR(AND(L173="sks&gt;10",L172="sks&lt;=10",IFERROR(SUMPRODUCT($I$171:I172,$J$171:J172)&lt;10,FALSE)),AND(L173="sks&gt;10",L172="")),(((10-SUMPRODUCT($I$171:I172,$J$171:J172))&amp;" x "&amp;1&amp;" x "&amp;IF('LAMPIRAN I DONE'!$F$21="Tenaga Pengajar",0.5,IF(OR('LAMPIRAN I DONE'!$F$21="Asisten Ahli",'LAMPIRAN I DONE'!$F$21="Lektor",'LAMPIRAN I DONE'!$F$21="Lektor Kepala",'LAMPIRAN I DONE'!$F$21="Guru Besar"),1,""))&amp;" = "&amp;((10-SUMPRODUCT($I$171:I172,$J$171:J172))*IF('LAMPIRAN I DONE'!$F$21="Tenaga Pengajar",0.5,IF(OR('LAMPIRAN I DONE'!$F$21="Asisten Ahli",'LAMPIRAN I DONE'!$F$21="Lektor",'LAMPIRAN I DONE'!$F$21="Lektor Kepala",'LAMPIRAN I DONE'!$F$21="Guru Besar"),1,""))))&amp;"
"&amp;(((I173*J173)-(10-SUMPRODUCT($I$171:I172,$J$171:J172)))&amp;" x "&amp;1&amp;" x "&amp;IF('LAMPIRAN I DONE'!$F$21="Tenaga Pengajar",0.25,IF(OR('LAMPIRAN I DONE'!$F$21="Asisten Ahli",'LAMPIRAN I DONE'!$F$21="Lektor",'LAMPIRAN I DONE'!$F$21="Lektor Kepala",'LAMPIRAN I DONE'!$F$21="Guru Besar"),0.5,""))&amp;" = "&amp;(((I173*J173)-(10-SUMPRODUCT($I$171:I172,$J$171:J172)))*IF('LAMPIRAN I DONE'!$F$21="Tenaga Pengajar",0.25,IF(OR('LAMPIRAN I DONE'!$F$21="Asisten Ahli",'LAMPIRAN I DONE'!$F$21="Lektor",'LAMPIRAN I DONE'!$F$21="Lektor Kepala",'LAMPIRAN I DONE'!$F$21="Guru Besar"),0.5,""))))),(I173&amp;" x "&amp;J173&amp;" x "&amp;(IF(OR(AND(L173="sks&gt;10",L172="sks&gt;10"),AND(L173="sks&gt;10",L172="sks&lt;=10")),IF('LAMPIRAN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Besar"),1,""))))&amp;" = "&amp;K173))),"rumus")</f>
        <v>rumus</v>
      </c>
      <c r="H173" s="820" t="s">
        <v>620</v>
      </c>
      <c r="I173" s="34"/>
      <c r="J173" s="34"/>
      <c r="K173" s="27" t="str">
        <f>IF(AND(I173&lt;&gt;"",J173&lt;&gt;""),(IF(OR(AND(L173="sks&gt;10",L172="sks&lt;=10",IFERROR(SUMPRODUCT($I$171:I172,$J$171:J172)&lt;10,FALSE)),AND(L173="sks&gt;10",L172="")),(((10-SUMPRODUCT($I$171:I172,$J$171:J172))*IF('LAMPIRAN I DONE'!$F$21="Tenaga Pengajar",0.5,IF(OR('LAMPIRAN I DONE'!$F$21="Asisten Ahli",'LAMPIRAN I DONE'!$F$21="Lektor",'LAMPIRAN I DONE'!$F$21="Lektor Kepala",'LAMPIRAN I DONE'!$F$21="Guru Besar"),1,"")))+(((I173*J173)-(10-SUMPRODUCT($I$171:I172,$J$171:J172)))*IF('LAMPIRAN I DONE'!$F$21="Tenaga Pengajar",0.25,IF(OR('LAMPIRAN I DONE'!$F$21="Asisten Ahli",'LAMPIRAN I DONE'!$F$21="Lektor",'LAMPIRAN I DONE'!$F$21="Lektor Kepala",'LAMPIRAN I DONE'!$F$21="Guru Besar"),0.5,"")))),IF(OR(AND(L173="sks&gt;10",L172="sks&gt;10"),AND(L173="sks&gt;10",L172="sks&lt;=10")),I173*J173*IF('LAMPIRAN I DONE'!$F$21="Tenaga Pengajar",0.25,IF(OR('LAMPIRAN I DONE'!$F$21="Asisten Ahli",'LAMPIRAN I DONE'!$F$21="Lektor",'LAMPIRAN I DONE'!$F$21="Lektor Kepala",'LAMPIRAN I DONE'!$F$21="Guru Besar"),0.5,"")),I173*J173*IF('LAMPIRAN I DONE'!$F$21="Tenaga Pengajar",0.5,IF(OR('LAMPIRAN I DONE'!$F$21="Asisten Ahli",'LAMPIRAN I DONE'!$F$21="Lektor",'LAMPIRAN I DONE'!$F$21="Lektor Kepala",'LAMPIRAN I DONE'!$F$21="Guru Besar"),1,""))))),"rumus")</f>
        <v>rumus</v>
      </c>
      <c r="L173" s="27" t="str">
        <f>IF(AND(I173&lt;&gt;"",J173&lt;&gt;""),(IF(SUMPRODUCT($I$172:I173,$J$172:J173)&lt;=10,"SKS&lt;=10",IF(SUMPRODUCT($I$172:I173,$J$172:J173)&gt;10,"SKS&gt;10",""))),"rumus")</f>
        <v>rumus</v>
      </c>
    </row>
    <row r="174" spans="1:14" s="2" customFormat="1" ht="25.5" hidden="1" customHeight="1" x14ac:dyDescent="0.45">
      <c r="A174" s="67">
        <v>3</v>
      </c>
      <c r="B174" s="163" t="s">
        <v>81</v>
      </c>
      <c r="C174" s="28" t="s">
        <v>251</v>
      </c>
      <c r="D174" s="28" t="str">
        <f t="shared" si="26"/>
        <v/>
      </c>
      <c r="E174" s="256" t="str">
        <f>IF(K174&lt;&gt;"rumus",(IF(OR(AND(L174="sks&gt;10",L173="sks&lt;=10",IFERROR(SUMPRODUCT($I$171:I173,$J$171:J173)&lt;10,FALSE)),AND(L174="sks&gt;10",L173="")),(((10-SUMPRODUCT($I$171:I173,$J$171:J173))&amp;" x "&amp;1)&amp;"
"&amp;(((I174*J174)-(10-SUMPRODUCT($I$171:I173,$J$171:J173)))&amp;" x "&amp;1)),(I174&amp;" x "&amp;J174))),"")</f>
        <v/>
      </c>
      <c r="F174" s="256" t="str">
        <f>IF(K174&lt;&gt;"rumus",(IF(OR(AND(L174="sks&gt;10",L173="sks&lt;=10",IFERROR(SUMPRODUCT($I$171:I173,$J$171:J173)&lt;10,FALSE)),AND(L174="sks&gt;10",L173="")),((IF('LAMPIRAN I DONE'!$F$21="Tenaga Pengajar",0.5,IF(OR('LAMPIRAN I DONE'!$F$21="Asisten Ahli",'LAMPIRAN I DONE'!$F$21="Lektor",'LAMPIRAN I DONE'!$F$21="Lektor Kepala",'LAMPIRAN I DONE'!$F$21="Guru Besar"),1,"")))&amp;"
"&amp;(IF('LAMPIRAN I DONE'!$F$21="Tenaga Pengajar",0.25,IF(OR('LAMPIRAN I DONE'!$F$21="Asisten Ahli",'LAMPIRAN I DONE'!$F$21="Lektor",'LAMPIRAN I DONE'!$F$21="Lektor Kepala",'LAMPIRAN I DONE'!$F$21="Guru Besar"),0.5,"")))),((IF(OR(AND(L174="sks&gt;10",L173="sks&gt;10"),AND(L174="sks&gt;10",L173="sks&lt;=10")),IF('LAMPIRAN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f>
        <v/>
      </c>
      <c r="G174" s="105" t="str">
        <f>IF(K174&lt;&gt;"rumus",(IF(OR(AND(L174="sks&gt;10",L173="sks&lt;=10",IFERROR(SUMPRODUCT($I$171:I173,$J$171:J173)&lt;10,FALSE)),AND(L174="sks&gt;10",L173="")),(((10-SUMPRODUCT($I$171:I173,$J$171:J173))&amp;" x "&amp;1&amp;" x "&amp;IF('LAMPIRAN I DONE'!$F$21="Tenaga Pengajar",0.5,IF(OR('LAMPIRAN I DONE'!$F$21="Asisten Ahli",'LAMPIRAN I DONE'!$F$21="Lektor",'LAMPIRAN I DONE'!$F$21="Lektor Kepala",'LAMPIRAN I DONE'!$F$21="Guru Besar"),1,""))&amp;" = "&amp;((10-SUMPRODUCT($I$171:I173,$J$171:J173))*IF('LAMPIRAN I DONE'!$F$21="Tenaga Pengajar",0.5,IF(OR('LAMPIRAN I DONE'!$F$21="Asisten Ahli",'LAMPIRAN I DONE'!$F$21="Lektor",'LAMPIRAN I DONE'!$F$21="Lektor Kepala",'LAMPIRAN I DONE'!$F$21="Guru Besar"),1,""))))&amp;"
"&amp;(((I174*J174)-(10-SUMPRODUCT($I$171:I173,$J$171:J173)))&amp;" x "&amp;1&amp;" x "&amp;IF('LAMPIRAN I DONE'!$F$21="Tenaga Pengajar",0.25,IF(OR('LAMPIRAN I DONE'!$F$21="Asisten Ahli",'LAMPIRAN I DONE'!$F$21="Lektor",'LAMPIRAN I DONE'!$F$21="Lektor Kepala",'LAMPIRAN I DONE'!$F$21="Guru Besar"),0.5,""))&amp;" = "&amp;(((I174*J174)-(10-SUMPRODUCT($I$171:I173,$J$171:J173)))*IF('LAMPIRAN I DONE'!$F$21="Tenaga Pengajar",0.25,IF(OR('LAMPIRAN I DONE'!$F$21="Asisten Ahli",'LAMPIRAN I DONE'!$F$21="Lektor",'LAMPIRAN I DONE'!$F$21="Lektor Kepala",'LAMPIRAN I DONE'!$F$21="Guru Besar"),0.5,""))))),(I174&amp;" x "&amp;J174&amp;" x "&amp;(IF(OR(AND(L174="sks&gt;10",L173="sks&gt;10"),AND(L174="sks&gt;10",L173="sks&lt;=10")),IF('LAMPIRAN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Besar"),1,""))))&amp;" = "&amp;K174))),"rumus")</f>
        <v>rumus</v>
      </c>
      <c r="H174" s="820" t="s">
        <v>620</v>
      </c>
      <c r="I174" s="34"/>
      <c r="J174" s="34"/>
      <c r="K174" s="27" t="str">
        <f>IF(AND(I174&lt;&gt;"",J174&lt;&gt;""),(IF(OR(AND(L174="sks&gt;10",L173="sks&lt;=10",IFERROR(SUMPRODUCT($I$171:I173,$J$171:J173)&lt;10,FALSE)),AND(L174="sks&gt;10",L173="")),(((10-SUMPRODUCT($I$171:I173,$J$171:J173))*IF('LAMPIRAN I DONE'!$F$21="Tenaga Pengajar",0.5,IF(OR('LAMPIRAN I DONE'!$F$21="Asisten Ahli",'LAMPIRAN I DONE'!$F$21="Lektor",'LAMPIRAN I DONE'!$F$21="Lektor Kepala",'LAMPIRAN I DONE'!$F$21="Guru Besar"),1,"")))+(((I174*J174)-(10-SUMPRODUCT($I$171:I173,$J$171:J173)))*IF('LAMPIRAN I DONE'!$F$21="Tenaga Pengajar",0.25,IF(OR('LAMPIRAN I DONE'!$F$21="Asisten Ahli",'LAMPIRAN I DONE'!$F$21="Lektor",'LAMPIRAN I DONE'!$F$21="Lektor Kepala",'LAMPIRAN I DONE'!$F$21="Guru Besar"),0.5,"")))),IF(OR(AND(L174="sks&gt;10",L173="sks&gt;10"),AND(L174="sks&gt;10",L173="sks&lt;=10")),I174*J174*IF('LAMPIRAN I DONE'!$F$21="Tenaga Pengajar",0.25,IF(OR('LAMPIRAN I DONE'!$F$21="Asisten Ahli",'LAMPIRAN I DONE'!$F$21="Lektor",'LAMPIRAN I DONE'!$F$21="Lektor Kepala",'LAMPIRAN I DONE'!$F$21="Guru Besar"),0.5,"")),I174*J174*IF('LAMPIRAN I DONE'!$F$21="Tenaga Pengajar",0.5,IF(OR('LAMPIRAN I DONE'!$F$21="Asisten Ahli",'LAMPIRAN I DONE'!$F$21="Lektor",'LAMPIRAN I DONE'!$F$21="Lektor Kepala",'LAMPIRAN I DONE'!$F$21="Guru Besar"),1,""))))),"rumus")</f>
        <v>rumus</v>
      </c>
      <c r="L174" s="27" t="str">
        <f>IF(AND(I174&lt;&gt;"",J174&lt;&gt;""),(IF(SUMPRODUCT($I$172:I174,$J$172:J174)&lt;=10,"SKS&lt;=10",IF(SUMPRODUCT($I$172:I174,$J$172:J174)&gt;10,"SKS&gt;10",""))),"rumus")</f>
        <v>rumus</v>
      </c>
    </row>
    <row r="175" spans="1:14" s="2" customFormat="1" ht="25.5" hidden="1" customHeight="1" x14ac:dyDescent="0.45">
      <c r="A175" s="67">
        <v>4</v>
      </c>
      <c r="B175" s="163" t="s">
        <v>81</v>
      </c>
      <c r="C175" s="28" t="s">
        <v>251</v>
      </c>
      <c r="D175" s="28" t="str">
        <f t="shared" si="26"/>
        <v/>
      </c>
      <c r="E175" s="256" t="str">
        <f>IF(K175&lt;&gt;"rumus",(IF(OR(AND(L175="sks&gt;10",L174="sks&lt;=10",IFERROR(SUMPRODUCT($I$171:I174,$J$171:J174)&lt;10,FALSE)),AND(L175="sks&gt;10",L174="")),(((10-SUMPRODUCT($I$171:I174,$J$171:J174))&amp;" x "&amp;1)&amp;"
"&amp;(((I175*J175)-(10-SUMPRODUCT($I$171:I174,$J$171:J174)))&amp;" x "&amp;1)),(I175&amp;" x "&amp;J175))),"")</f>
        <v/>
      </c>
      <c r="F175" s="256" t="str">
        <f>IF(K175&lt;&gt;"rumus",(IF(OR(AND(L175="sks&gt;10",L174="sks&lt;=10",IFERROR(SUMPRODUCT($I$171:I174,$J$171:J174)&lt;10,FALSE)),AND(L175="sks&gt;10",L174="")),((IF('LAMPIRAN I DONE'!$F$21="Tenaga Pengajar",0.5,IF(OR('LAMPIRAN I DONE'!$F$21="Asisten Ahli",'LAMPIRAN I DONE'!$F$21="Lektor",'LAMPIRAN I DONE'!$F$21="Lektor Kepala",'LAMPIRAN I DONE'!$F$21="Guru Besar"),1,"")))&amp;"
"&amp;(IF('LAMPIRAN I DONE'!$F$21="Tenaga Pengajar",0.25,IF(OR('LAMPIRAN I DONE'!$F$21="Asisten Ahli",'LAMPIRAN I DONE'!$F$21="Lektor",'LAMPIRAN I DONE'!$F$21="Lektor Kepala",'LAMPIRAN I DONE'!$F$21="Guru Besar"),0.5,"")))),((IF(OR(AND(L175="sks&gt;10",L174="sks&gt;10"),AND(L175="sks&gt;10",L174="sks&lt;=10")),IF('LAMPIRAN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f>
        <v/>
      </c>
      <c r="G175" s="105" t="str">
        <f>IF(K175&lt;&gt;"rumus",(IF(OR(AND(L175="sks&gt;10",L174="sks&lt;=10",IFERROR(SUMPRODUCT($I$171:I174,$J$171:J174)&lt;10,FALSE)),AND(L175="sks&gt;10",L174="")),(((10-SUMPRODUCT($I$171:I174,$J$171:J174))&amp;" x "&amp;1&amp;" x "&amp;IF('LAMPIRAN I DONE'!$F$21="Tenaga Pengajar",0.5,IF(OR('LAMPIRAN I DONE'!$F$21="Asisten Ahli",'LAMPIRAN I DONE'!$F$21="Lektor",'LAMPIRAN I DONE'!$F$21="Lektor Kepala",'LAMPIRAN I DONE'!$F$21="Guru Besar"),1,""))&amp;" = "&amp;((10-SUMPRODUCT($I$171:I174,$J$171:J174))*IF('LAMPIRAN I DONE'!$F$21="Tenaga Pengajar",0.5,IF(OR('LAMPIRAN I DONE'!$F$21="Asisten Ahli",'LAMPIRAN I DONE'!$F$21="Lektor",'LAMPIRAN I DONE'!$F$21="Lektor Kepala",'LAMPIRAN I DONE'!$F$21="Guru Besar"),1,""))))&amp;"
"&amp;(((I175*J175)-(10-SUMPRODUCT($I$171:I174,$J$171:J174)))&amp;" x "&amp;1&amp;" x "&amp;IF('LAMPIRAN I DONE'!$F$21="Tenaga Pengajar",0.25,IF(OR('LAMPIRAN I DONE'!$F$21="Asisten Ahli",'LAMPIRAN I DONE'!$F$21="Lektor",'LAMPIRAN I DONE'!$F$21="Lektor Kepala",'LAMPIRAN I DONE'!$F$21="Guru Besar"),0.5,""))&amp;" = "&amp;(((I175*J175)-(10-SUMPRODUCT($I$171:I174,$J$171:J174)))*IF('LAMPIRAN I DONE'!$F$21="Tenaga Pengajar",0.25,IF(OR('LAMPIRAN I DONE'!$F$21="Asisten Ahli",'LAMPIRAN I DONE'!$F$21="Lektor",'LAMPIRAN I DONE'!$F$21="Lektor Kepala",'LAMPIRAN I DONE'!$F$21="Guru Besar"),0.5,""))))),(I175&amp;" x "&amp;J175&amp;" x "&amp;(IF(OR(AND(L175="sks&gt;10",L174="sks&gt;10"),AND(L175="sks&gt;10",L174="sks&lt;=10")),IF('LAMPIRAN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Besar"),1,""))))&amp;" = "&amp;K175))),"rumus")</f>
        <v>rumus</v>
      </c>
      <c r="H175" s="820" t="s">
        <v>620</v>
      </c>
      <c r="I175" s="34"/>
      <c r="J175" s="34"/>
      <c r="K175" s="27" t="str">
        <f>IF(AND(I175&lt;&gt;"",J175&lt;&gt;""),(IF(OR(AND(L175="sks&gt;10",L174="sks&lt;=10",IFERROR(SUMPRODUCT($I$171:I174,$J$171:J174)&lt;10,FALSE)),AND(L175="sks&gt;10",L174="")),(((10-SUMPRODUCT($I$171:I174,$J$171:J174))*IF('LAMPIRAN I DONE'!$F$21="Tenaga Pengajar",0.5,IF(OR('LAMPIRAN I DONE'!$F$21="Asisten Ahli",'LAMPIRAN I DONE'!$F$21="Lektor",'LAMPIRAN I DONE'!$F$21="Lektor Kepala",'LAMPIRAN I DONE'!$F$21="Guru Besar"),1,"")))+(((I175*J175)-(10-SUMPRODUCT($I$171:I174,$J$171:J174)))*IF('LAMPIRAN I DONE'!$F$21="Tenaga Pengajar",0.25,IF(OR('LAMPIRAN I DONE'!$F$21="Asisten Ahli",'LAMPIRAN I DONE'!$F$21="Lektor",'LAMPIRAN I DONE'!$F$21="Lektor Kepala",'LAMPIRAN I DONE'!$F$21="Guru Besar"),0.5,"")))),IF(OR(AND(L175="sks&gt;10",L174="sks&gt;10"),AND(L175="sks&gt;10",L174="sks&lt;=10")),I175*J175*IF('LAMPIRAN I DONE'!$F$21="Tenaga Pengajar",0.25,IF(OR('LAMPIRAN I DONE'!$F$21="Asisten Ahli",'LAMPIRAN I DONE'!$F$21="Lektor",'LAMPIRAN I DONE'!$F$21="Lektor Kepala",'LAMPIRAN I DONE'!$F$21="Guru Besar"),0.5,"")),I175*J175*IF('LAMPIRAN I DONE'!$F$21="Tenaga Pengajar",0.5,IF(OR('LAMPIRAN I DONE'!$F$21="Asisten Ahli",'LAMPIRAN I DONE'!$F$21="Lektor",'LAMPIRAN I DONE'!$F$21="Lektor Kepala",'LAMPIRAN I DONE'!$F$21="Guru Besar"),1,""))))),"rumus")</f>
        <v>rumus</v>
      </c>
      <c r="L175" s="27" t="str">
        <f>IF(AND(I175&lt;&gt;"",J175&lt;&gt;""),(IF(SUMPRODUCT($I$172:I175,$J$172:J175)&lt;=10,"SKS&lt;=10",IF(SUMPRODUCT($I$172:I175,$J$172:J175)&gt;10,"SKS&gt;10",""))),"rumus")</f>
        <v>rumus</v>
      </c>
    </row>
    <row r="176" spans="1:14" s="2" customFormat="1" ht="25.5" hidden="1" customHeight="1" x14ac:dyDescent="0.45">
      <c r="A176" s="67">
        <v>5</v>
      </c>
      <c r="B176" s="163" t="s">
        <v>81</v>
      </c>
      <c r="C176" s="28" t="s">
        <v>251</v>
      </c>
      <c r="D176" s="28" t="str">
        <f t="shared" si="26"/>
        <v/>
      </c>
      <c r="E176" s="256" t="str">
        <f>IF(K176&lt;&gt;"rumus",(IF(OR(AND(L176="sks&gt;10",L175="sks&lt;=10",IFERROR(SUMPRODUCT($I$171:I175,$J$171:J175)&lt;10,FALSE)),AND(L176="sks&gt;10",L175="")),(((10-SUMPRODUCT($I$171:I175,$J$171:J175))&amp;" x "&amp;1)&amp;"
"&amp;(((I176*J176)-(10-SUMPRODUCT($I$171:I175,$J$171:J175)))&amp;" x "&amp;1)),(I176&amp;" x "&amp;J176))),"")</f>
        <v/>
      </c>
      <c r="F176" s="256" t="str">
        <f>IF(K176&lt;&gt;"rumus",(IF(OR(AND(L176="sks&gt;10",L175="sks&lt;=10",IFERROR(SUMPRODUCT($I$171:I175,$J$171:J175)&lt;10,FALSE)),AND(L176="sks&gt;10",L175="")),((IF('LAMPIRAN I DONE'!$F$21="Tenaga Pengajar",0.5,IF(OR('LAMPIRAN I DONE'!$F$21="Asisten Ahli",'LAMPIRAN I DONE'!$F$21="Lektor",'LAMPIRAN I DONE'!$F$21="Lektor Kepala",'LAMPIRAN I DONE'!$F$21="Guru Besar"),1,"")))&amp;"
"&amp;(IF('LAMPIRAN I DONE'!$F$21="Tenaga Pengajar",0.25,IF(OR('LAMPIRAN I DONE'!$F$21="Asisten Ahli",'LAMPIRAN I DONE'!$F$21="Lektor",'LAMPIRAN I DONE'!$F$21="Lektor Kepala",'LAMPIRAN I DONE'!$F$21="Guru Besar"),0.5,"")))),((IF(OR(AND(L176="sks&gt;10",L175="sks&gt;10"),AND(L176="sks&gt;10",L175="sks&lt;=10")),IF('LAMPIRAN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f>
        <v/>
      </c>
      <c r="G176" s="105" t="str">
        <f>IF(K176&lt;&gt;"rumus",(IF(OR(AND(L176="sks&gt;10",L175="sks&lt;=10",IFERROR(SUMPRODUCT($I$171:I175,$J$171:J175)&lt;10,FALSE)),AND(L176="sks&gt;10",L175="")),(((10-SUMPRODUCT($I$171:I175,$J$171:J175))&amp;" x "&amp;1&amp;" x "&amp;IF('LAMPIRAN I DONE'!$F$21="Tenaga Pengajar",0.5,IF(OR('LAMPIRAN I DONE'!$F$21="Asisten Ahli",'LAMPIRAN I DONE'!$F$21="Lektor",'LAMPIRAN I DONE'!$F$21="Lektor Kepala",'LAMPIRAN I DONE'!$F$21="Guru Besar"),1,""))&amp;" = "&amp;((10-SUMPRODUCT($I$171:I175,$J$171:J175))*IF('LAMPIRAN I DONE'!$F$21="Tenaga Pengajar",0.5,IF(OR('LAMPIRAN I DONE'!$F$21="Asisten Ahli",'LAMPIRAN I DONE'!$F$21="Lektor",'LAMPIRAN I DONE'!$F$21="Lektor Kepala",'LAMPIRAN I DONE'!$F$21="Guru Besar"),1,""))))&amp;"
"&amp;(((I176*J176)-(10-SUMPRODUCT($I$171:I175,$J$171:J175)))&amp;" x "&amp;1&amp;" x "&amp;IF('LAMPIRAN I DONE'!$F$21="Tenaga Pengajar",0.25,IF(OR('LAMPIRAN I DONE'!$F$21="Asisten Ahli",'LAMPIRAN I DONE'!$F$21="Lektor",'LAMPIRAN I DONE'!$F$21="Lektor Kepala",'LAMPIRAN I DONE'!$F$21="Guru Besar"),0.5,""))&amp;" = "&amp;(((I176*J176)-(10-SUMPRODUCT($I$171:I175,$J$171:J175)))*IF('LAMPIRAN I DONE'!$F$21="Tenaga Pengajar",0.25,IF(OR('LAMPIRAN I DONE'!$F$21="Asisten Ahli",'LAMPIRAN I DONE'!$F$21="Lektor",'LAMPIRAN I DONE'!$F$21="Lektor Kepala",'LAMPIRAN I DONE'!$F$21="Guru Besar"),0.5,""))))),(I176&amp;" x "&amp;J176&amp;" x "&amp;(IF(OR(AND(L176="sks&gt;10",L175="sks&gt;10"),AND(L176="sks&gt;10",L175="sks&lt;=10")),IF('LAMPIRAN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Besar"),1,""))))&amp;" = "&amp;K176))),"rumus")</f>
        <v>rumus</v>
      </c>
      <c r="H176" s="820" t="s">
        <v>620</v>
      </c>
      <c r="I176" s="34"/>
      <c r="J176" s="34"/>
      <c r="K176" s="27" t="str">
        <f>IF(AND(I176&lt;&gt;"",J176&lt;&gt;""),(IF(OR(AND(L176="sks&gt;10",L175="sks&lt;=10",IFERROR(SUMPRODUCT($I$171:I175,$J$171:J175)&lt;10,FALSE)),AND(L176="sks&gt;10",L175="")),(((10-SUMPRODUCT($I$171:I175,$J$171:J175))*IF('LAMPIRAN I DONE'!$F$21="Tenaga Pengajar",0.5,IF(OR('LAMPIRAN I DONE'!$F$21="Asisten Ahli",'LAMPIRAN I DONE'!$F$21="Lektor",'LAMPIRAN I DONE'!$F$21="Lektor Kepala",'LAMPIRAN I DONE'!$F$21="Guru Besar"),1,"")))+(((I176*J176)-(10-SUMPRODUCT($I$171:I175,$J$171:J175)))*IF('LAMPIRAN I DONE'!$F$21="Tenaga Pengajar",0.25,IF(OR('LAMPIRAN I DONE'!$F$21="Asisten Ahli",'LAMPIRAN I DONE'!$F$21="Lektor",'LAMPIRAN I DONE'!$F$21="Lektor Kepala",'LAMPIRAN I DONE'!$F$21="Guru Besar"),0.5,"")))),IF(OR(AND(L176="sks&gt;10",L175="sks&gt;10"),AND(L176="sks&gt;10",L175="sks&lt;=10")),I176*J176*IF('LAMPIRAN I DONE'!$F$21="Tenaga Pengajar",0.25,IF(OR('LAMPIRAN I DONE'!$F$21="Asisten Ahli",'LAMPIRAN I DONE'!$F$21="Lektor",'LAMPIRAN I DONE'!$F$21="Lektor Kepala",'LAMPIRAN I DONE'!$F$21="Guru Besar"),0.5,"")),I176*J176*IF('LAMPIRAN I DONE'!$F$21="Tenaga Pengajar",0.5,IF(OR('LAMPIRAN I DONE'!$F$21="Asisten Ahli",'LAMPIRAN I DONE'!$F$21="Lektor",'LAMPIRAN I DONE'!$F$21="Lektor Kepala",'LAMPIRAN I DONE'!$F$21="Guru Besar"),1,""))))),"rumus")</f>
        <v>rumus</v>
      </c>
      <c r="L176" s="27" t="str">
        <f>IF(AND(I176&lt;&gt;"",J176&lt;&gt;""),(IF(SUMPRODUCT($I$172:I176,$J$172:J176)&lt;=10,"SKS&lt;=10",IF(SUMPRODUCT($I$172:I176,$J$172:J176)&gt;10,"SKS&gt;10",""))),"rumus")</f>
        <v>rumus</v>
      </c>
    </row>
    <row r="177" spans="1:14" s="2" customFormat="1" ht="25.5" hidden="1" customHeight="1" x14ac:dyDescent="0.45">
      <c r="A177" s="67">
        <v>6</v>
      </c>
      <c r="B177" s="163" t="s">
        <v>81</v>
      </c>
      <c r="C177" s="28" t="s">
        <v>251</v>
      </c>
      <c r="D177" s="28" t="str">
        <f t="shared" si="26"/>
        <v/>
      </c>
      <c r="E177" s="256" t="str">
        <f>IF(K177&lt;&gt;"rumus",(IF(OR(AND(L177="sks&gt;10",L176="sks&lt;=10",IFERROR(SUMPRODUCT($I$171:I176,$J$171:J176)&lt;10,FALSE)),AND(L177="sks&gt;10",L176="")),(((10-SUMPRODUCT($I$171:I176,$J$171:J176))&amp;" x "&amp;1)&amp;"
"&amp;(((I177*J177)-(10-SUMPRODUCT($I$171:I176,$J$171:J176)))&amp;" x "&amp;1)),(I177&amp;" x "&amp;J177))),"")</f>
        <v/>
      </c>
      <c r="F177" s="256" t="str">
        <f>IF(K177&lt;&gt;"rumus",(IF(OR(AND(L177="sks&gt;10",L176="sks&lt;=10",IFERROR(SUMPRODUCT($I$171:I176,$J$171:J176)&lt;10,FALSE)),AND(L177="sks&gt;10",L176="")),((IF('LAMPIRAN I DONE'!$F$21="Tenaga Pengajar",0.5,IF(OR('LAMPIRAN I DONE'!$F$21="Asisten Ahli",'LAMPIRAN I DONE'!$F$21="Lektor",'LAMPIRAN I DONE'!$F$21="Lektor Kepala",'LAMPIRAN I DONE'!$F$21="Guru Besar"),1,"")))&amp;"
"&amp;(IF('LAMPIRAN I DONE'!$F$21="Tenaga Pengajar",0.25,IF(OR('LAMPIRAN I DONE'!$F$21="Asisten Ahli",'LAMPIRAN I DONE'!$F$21="Lektor",'LAMPIRAN I DONE'!$F$21="Lektor Kepala",'LAMPIRAN I DONE'!$F$21="Guru Besar"),0.5,"")))),((IF(OR(AND(L177="sks&gt;10",L176="sks&gt;10"),AND(L177="sks&gt;10",L176="sks&lt;=10")),IF('LAMPIRAN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f>
        <v/>
      </c>
      <c r="G177" s="105" t="str">
        <f>IF(K177&lt;&gt;"rumus",(IF(OR(AND(L177="sks&gt;10",L176="sks&lt;=10",IFERROR(SUMPRODUCT($I$171:I176,$J$171:J176)&lt;10,FALSE)),AND(L177="sks&gt;10",L176="")),(((10-SUMPRODUCT($I$171:I176,$J$171:J176))&amp;" x "&amp;1&amp;" x "&amp;IF('LAMPIRAN I DONE'!$F$21="Tenaga Pengajar",0.5,IF(OR('LAMPIRAN I DONE'!$F$21="Asisten Ahli",'LAMPIRAN I DONE'!$F$21="Lektor",'LAMPIRAN I DONE'!$F$21="Lektor Kepala",'LAMPIRAN I DONE'!$F$21="Guru Besar"),1,""))&amp;" = "&amp;((10-SUMPRODUCT($I$171:I176,$J$171:J176))*IF('LAMPIRAN I DONE'!$F$21="Tenaga Pengajar",0.5,IF(OR('LAMPIRAN I DONE'!$F$21="Asisten Ahli",'LAMPIRAN I DONE'!$F$21="Lektor",'LAMPIRAN I DONE'!$F$21="Lektor Kepala",'LAMPIRAN I DONE'!$F$21="Guru Besar"),1,""))))&amp;"
"&amp;(((I177*J177)-(10-SUMPRODUCT($I$171:I176,$J$171:J176)))&amp;" x "&amp;1&amp;" x "&amp;IF('LAMPIRAN I DONE'!$F$21="Tenaga Pengajar",0.25,IF(OR('LAMPIRAN I DONE'!$F$21="Asisten Ahli",'LAMPIRAN I DONE'!$F$21="Lektor",'LAMPIRAN I DONE'!$F$21="Lektor Kepala",'LAMPIRAN I DONE'!$F$21="Guru Besar"),0.5,""))&amp;" = "&amp;(((I177*J177)-(10-SUMPRODUCT($I$171:I176,$J$171:J176)))*IF('LAMPIRAN I DONE'!$F$21="Tenaga Pengajar",0.25,IF(OR('LAMPIRAN I DONE'!$F$21="Asisten Ahli",'LAMPIRAN I DONE'!$F$21="Lektor",'LAMPIRAN I DONE'!$F$21="Lektor Kepala",'LAMPIRAN I DONE'!$F$21="Guru Besar"),0.5,""))))),(I177&amp;" x "&amp;J177&amp;" x "&amp;(IF(OR(AND(L177="sks&gt;10",L176="sks&gt;10"),AND(L177="sks&gt;10",L176="sks&lt;=10")),IF('LAMPIRAN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Besar"),1,""))))&amp;" = "&amp;K177))),"rumus")</f>
        <v>rumus</v>
      </c>
      <c r="H177" s="820" t="s">
        <v>620</v>
      </c>
      <c r="I177" s="34"/>
      <c r="J177" s="34"/>
      <c r="K177" s="27" t="str">
        <f>IF(AND(I177&lt;&gt;"",J177&lt;&gt;""),(IF(OR(AND(L177="sks&gt;10",L176="sks&lt;=10",IFERROR(SUMPRODUCT($I$171:I176,$J$171:J176)&lt;10,FALSE)),AND(L177="sks&gt;10",L176="")),(((10-SUMPRODUCT($I$171:I176,$J$171:J176))*IF('LAMPIRAN I DONE'!$F$21="Tenaga Pengajar",0.5,IF(OR('LAMPIRAN I DONE'!$F$21="Asisten Ahli",'LAMPIRAN I DONE'!$F$21="Lektor",'LAMPIRAN I DONE'!$F$21="Lektor Kepala",'LAMPIRAN I DONE'!$F$21="Guru Besar"),1,"")))+(((I177*J177)-(10-SUMPRODUCT($I$171:I176,$J$171:J176)))*IF('LAMPIRAN I DONE'!$F$21="Tenaga Pengajar",0.25,IF(OR('LAMPIRAN I DONE'!$F$21="Asisten Ahli",'LAMPIRAN I DONE'!$F$21="Lektor",'LAMPIRAN I DONE'!$F$21="Lektor Kepala",'LAMPIRAN I DONE'!$F$21="Guru Besar"),0.5,"")))),IF(OR(AND(L177="sks&gt;10",L176="sks&gt;10"),AND(L177="sks&gt;10",L176="sks&lt;=10")),I177*J177*IF('LAMPIRAN I DONE'!$F$21="Tenaga Pengajar",0.25,IF(OR('LAMPIRAN I DONE'!$F$21="Asisten Ahli",'LAMPIRAN I DONE'!$F$21="Lektor",'LAMPIRAN I DONE'!$F$21="Lektor Kepala",'LAMPIRAN I DONE'!$F$21="Guru Besar"),0.5,"")),I177*J177*IF('LAMPIRAN I DONE'!$F$21="Tenaga Pengajar",0.5,IF(OR('LAMPIRAN I DONE'!$F$21="Asisten Ahli",'LAMPIRAN I DONE'!$F$21="Lektor",'LAMPIRAN I DONE'!$F$21="Lektor Kepala",'LAMPIRAN I DONE'!$F$21="Guru Besar"),1,""))))),"rumus")</f>
        <v>rumus</v>
      </c>
      <c r="L177" s="27" t="str">
        <f>IF(AND(I177&lt;&gt;"",J177&lt;&gt;""),(IF(SUMPRODUCT($I$172:I177,$J$172:J177)&lt;=10,"SKS&lt;=10",IF(SUMPRODUCT($I$172:I177,$J$172:J177)&gt;10,"SKS&gt;10",""))),"rumus")</f>
        <v>rumus</v>
      </c>
    </row>
    <row r="178" spans="1:14" s="2" customFormat="1" ht="15" customHeight="1" x14ac:dyDescent="0.45">
      <c r="A178" s="67"/>
      <c r="B178" s="168" t="str">
        <f>"b. Semester Genap "&amp;IF(C179&lt;&gt;"",C179,"")&amp;" :"</f>
        <v>b. Semester Genap 2015/2016 :</v>
      </c>
      <c r="C178" s="30"/>
      <c r="D178" s="111"/>
      <c r="E178" s="111"/>
      <c r="F178" s="111"/>
      <c r="G178" s="111"/>
      <c r="H178" s="112"/>
      <c r="I178" s="496"/>
      <c r="J178" s="496"/>
      <c r="M178" s="104">
        <f>IF((AND(N178="Max 5,5",SUM(K172:K177)&lt;=5.5)),SUM(K172:K177),IF((AND(N178="Max 5,5",SUM(K172:K177)&gt;5.5)),5.5,IF((AND(N178="Max 11",SUM(K172:K177)&lt;=11)),SUM(K172:K177),IF((AND(N178="Max 11",SUM(K172:K177)&gt;11)),11,""))))</f>
        <v>0</v>
      </c>
      <c r="N178" s="33" t="str">
        <f>IF('LAMPIRAN I DONE'!$F$21="Tenaga Pengajar","Max 5,5",IF(OR('LAMPIRAN I DONE'!$F$21="Asisten Ahli",'LAMPIRAN I DONE'!$F$21="Lektor",'LAMPIRAN I DONE'!$F$21="Lektor Kepala",'LAMPIRAN I DONE'!$F$21="Guru Besar"),"Max 11",""))</f>
        <v>Max 11</v>
      </c>
    </row>
    <row r="179" spans="1:14" s="2" customFormat="1" ht="25.5" customHeight="1" x14ac:dyDescent="0.45">
      <c r="A179" s="67">
        <v>1</v>
      </c>
      <c r="B179" s="823" t="s">
        <v>876</v>
      </c>
      <c r="C179" s="28" t="s">
        <v>252</v>
      </c>
      <c r="D179" s="28" t="str">
        <f>IF(G179&lt;&gt;"rumus","SKS","")</f>
        <v>SKS</v>
      </c>
      <c r="E179" s="256" t="str">
        <f>IF(K179&lt;&gt;"rumus",(IF(OR(AND(L179="sks&gt;10",L178="sks&lt;=10",IFERROR(SUMPRODUCT($I$178:I178,$J$178:J178)&lt;10,FALSE)),AND(L179="sks&gt;10",L178="")),(((10-SUMPRODUCT($I$178:I178,$J$178:J178))&amp;" x "&amp;1)&amp;"
"&amp;(((I179*J179)-(10-SUMPRODUCT($I$178:I178,$J$178:J178)))&amp;" x "&amp;1)),(I179&amp;" x "&amp;J179))),"")</f>
        <v>2 x 1</v>
      </c>
      <c r="F179" s="256">
        <f>IF(K179&lt;&gt;"rumus",(IF(OR(AND(L179="sks&gt;10",L178="sks&lt;=10",IFERROR(SUMPRODUCT($I$178:I178,$J$178:J178)&lt;10,FALSE)),AND(L179="sks&gt;10",L178="")),((IF('LAMPIRAN I DONE'!$F$21="Tenaga Pengajar",0.5,IF(OR('LAMPIRAN I DONE'!$F$21="Asisten Ahli",'LAMPIRAN I DONE'!$F$21="Lektor",'LAMPIRAN I DONE'!$F$21="Lektor Kepala",'LAMPIRAN I DONE'!$F$21="Guru Besar"),1,"")))&amp;"
"&amp;(IF('LAMPIRAN I DONE'!$F$21="Tenaga Pengajar",0.25,IF(OR('LAMPIRAN I DONE'!$F$21="Asisten Ahli",'LAMPIRAN I DONE'!$F$21="Lektor",'LAMPIRAN I DONE'!$F$21="Lektor Kepala",'LAMPIRAN I DONE'!$F$21="Guru Besar"),0.5,"")))),((IF(OR(AND(L179="sks&gt;10",L178="sks&gt;10"),AND(L179="sks&gt;10",L178="sks&lt;=10")),IF('LAMPIRAN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f>
        <v>1</v>
      </c>
      <c r="G179" s="105" t="str">
        <f>IF(K179&lt;&gt;"rumus",(IF(OR(AND(L179="sks&gt;10",L178="sks&lt;=10",IFERROR(SUMPRODUCT($I$178:I178,$J$178:J178)&lt;10,FALSE)),AND(L179="sks&gt;10",L178="")),(((10-SUMPRODUCT($I$178:I178,$J$178:J178))&amp;" x "&amp;1&amp;" x "&amp;IF('LAMPIRAN I DONE'!$F$21="Tenaga Pengajar",0.5,IF(OR('LAMPIRAN I DONE'!$F$21="Asisten Ahli",'LAMPIRAN I DONE'!$F$21="Lektor",'LAMPIRAN I DONE'!$F$21="Lektor Kepala",'LAMPIRAN I DONE'!$F$21="Guru Besar"),1,""))&amp;" = "&amp;((10-SUMPRODUCT($I$178:I178,$J$178:J178))*IF('LAMPIRAN I DONE'!$F$21="Tenaga Pengajar",0.5,IF(OR('LAMPIRAN I DONE'!$F$21="Asisten Ahli",'LAMPIRAN I DONE'!$F$21="Lektor",'LAMPIRAN I DONE'!$F$21="Lektor Kepala",'LAMPIRAN I DONE'!$F$21="Guru Besar"),1,""))))&amp;"
"&amp;(((I179*J179)-(10-SUMPRODUCT($I$178:I178,$J$178:J178)))&amp;" x "&amp;1&amp;" x "&amp;IF('LAMPIRAN I DONE'!$F$21="Tenaga Pengajar",0.25,IF(OR('LAMPIRAN I DONE'!$F$21="Asisten Ahli",'LAMPIRAN I DONE'!$F$21="Lektor",'LAMPIRAN I DONE'!$F$21="Lektor Kepala",'LAMPIRAN I DONE'!$F$21="Guru Besar"),0.5,""))&amp;" = "&amp;(((I179*J179)-(10-SUMPRODUCT($I$178:I178,$J$178:J178)))*IF('LAMPIRAN I DONE'!$F$21="Tenaga Pengajar",0.25,IF(OR('LAMPIRAN I DONE'!$F$21="Asisten Ahli",'LAMPIRAN I DONE'!$F$21="Lektor",'LAMPIRAN I DONE'!$F$21="Lektor Kepala",'LAMPIRAN I DONE'!$F$21="Guru Besar"),0.5,""))))),(I179&amp;" x "&amp;J179&amp;" x "&amp;(IF(OR(AND(L179="sks&gt;10",L178="sks&gt;10"),AND(L179="sks&gt;10",L178="sks&lt;=10")),IF('LAMPIRAN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Besar"),1,""))))&amp;" = "&amp;K179))),"rumus")</f>
        <v>2 x 1 x 1 = 2</v>
      </c>
      <c r="H179" s="820" t="s">
        <v>884</v>
      </c>
      <c r="I179" s="824">
        <v>2</v>
      </c>
      <c r="J179" s="824">
        <v>1</v>
      </c>
      <c r="K179" s="27">
        <f>IF(AND(I179&lt;&gt;"",J179&lt;&gt;""),(IF(OR(AND(L179="sks&gt;10",L178="sks&lt;=10",IFERROR(SUMPRODUCT($I$178:I178,$J$178:J178)&lt;10,FALSE)),AND(L179="sks&gt;10",L178="")),(((10-SUMPRODUCT($I$178:I178,$J$178:J178))*IF('LAMPIRAN I DONE'!$F$21="Tenaga Pengajar",0.5,IF(OR('LAMPIRAN I DONE'!$F$21="Asisten Ahli",'LAMPIRAN I DONE'!$F$21="Lektor",'LAMPIRAN I DONE'!$F$21="Lektor Kepala",'LAMPIRAN I DONE'!$F$21="Guru Besar"),1,"")))+(((I179*J179)-(10-SUMPRODUCT($I$178:I178,$J$178:J178)))*IF('LAMPIRAN I DONE'!$F$21="Tenaga Pengajar",0.25,IF(OR('LAMPIRAN I DONE'!$F$21="Asisten Ahli",'LAMPIRAN I DONE'!$F$21="Lektor",'LAMPIRAN I DONE'!$F$21="Lektor Kepala",'LAMPIRAN I DONE'!$F$21="Guru Besar"),0.5,"")))),IF(OR(AND(L179="sks&gt;10",L178="sks&gt;10"),AND(L179="sks&gt;10",L178="sks&lt;=10")),I179*J179*IF('LAMPIRAN I DONE'!$F$21="Tenaga Pengajar",0.25,IF(OR('LAMPIRAN I DONE'!$F$21="Asisten Ahli",'LAMPIRAN I DONE'!$F$21="Lektor",'LAMPIRAN I DONE'!$F$21="Lektor Kepala",'LAMPIRAN I DONE'!$F$21="Guru Besar"),0.5,"")),I179*J179*IF('LAMPIRAN I DONE'!$F$21="Tenaga Pengajar",0.5,IF(OR('LAMPIRAN I DONE'!$F$21="Asisten Ahli",'LAMPIRAN I DONE'!$F$21="Lektor",'LAMPIRAN I DONE'!$F$21="Lektor Kepala",'LAMPIRAN I DONE'!$F$21="Guru Besar"),1,""))))),"rumus")</f>
        <v>2</v>
      </c>
      <c r="L179" s="27" t="str">
        <f>IF(AND(I179&lt;&gt;"",J179&lt;&gt;""),(IF(SUMPRODUCT($I$179:I179,$J$179:J179)&lt;=10,"SKS&lt;=10",IF(SUMPRODUCT($I$179:I179,$J$179:J179)&gt;10,"SKS&gt;10",""))),"rumus")</f>
        <v>SKS&lt;=10</v>
      </c>
    </row>
    <row r="180" spans="1:14" s="2" customFormat="1" ht="25.5" customHeight="1" x14ac:dyDescent="0.45">
      <c r="A180" s="67">
        <v>2</v>
      </c>
      <c r="B180" s="823" t="s">
        <v>877</v>
      </c>
      <c r="C180" s="28" t="s">
        <v>252</v>
      </c>
      <c r="D180" s="28" t="str">
        <f t="shared" ref="D180:D184" si="27">IF(G180&lt;&gt;"rumus","SKS","")</f>
        <v>SKS</v>
      </c>
      <c r="E180" s="256" t="str">
        <f>IF(K180&lt;&gt;"rumus",(IF(OR(AND(L180="sks&gt;10",L179="sks&lt;=10",IFERROR(SUMPRODUCT($I$178:I179,$J$178:J179)&lt;10,FALSE)),AND(L180="sks&gt;10",L179="")),(((10-SUMPRODUCT($I$178:I179,$J$178:J179))&amp;" x "&amp;1)&amp;"
"&amp;(((I180*J180)-(10-SUMPRODUCT($I$178:I179,$J$178:J179)))&amp;" x "&amp;1)),(I180&amp;" x "&amp;J180))),"")</f>
        <v>4 x 1</v>
      </c>
      <c r="F180" s="256">
        <f>IF(K180&lt;&gt;"rumus",(IF(OR(AND(L180="sks&gt;10",L179="sks&lt;=10",IFERROR(SUMPRODUCT($I$178:I179,$J$178:J179)&lt;10,FALSE)),AND(L180="sks&gt;10",L179="")),((IF('LAMPIRAN I DONE'!$F$21="Tenaga Pengajar",0.5,IF(OR('LAMPIRAN I DONE'!$F$21="Asisten Ahli",'LAMPIRAN I DONE'!$F$21="Lektor",'LAMPIRAN I DONE'!$F$21="Lektor Kepala",'LAMPIRAN I DONE'!$F$21="Guru Besar"),1,"")))&amp;"
"&amp;(IF('LAMPIRAN I DONE'!$F$21="Tenaga Pengajar",0.25,IF(OR('LAMPIRAN I DONE'!$F$21="Asisten Ahli",'LAMPIRAN I DONE'!$F$21="Lektor",'LAMPIRAN I DONE'!$F$21="Lektor Kepala",'LAMPIRAN I DONE'!$F$21="Guru Besar"),0.5,"")))),((IF(OR(AND(L180="sks&gt;10",L179="sks&gt;10"),AND(L180="sks&gt;10",L179="sks&lt;=10")),IF('LAMPIRAN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f>
        <v>1</v>
      </c>
      <c r="G180" s="105" t="str">
        <f>IF(K180&lt;&gt;"rumus",(IF(OR(AND(L180="sks&gt;10",L179="sks&lt;=10",IFERROR(SUMPRODUCT($I$178:I179,$J$178:J179)&lt;10,FALSE)),AND(L180="sks&gt;10",L179="")),(((10-SUMPRODUCT($I$178:I179,$J$178:J179))&amp;" x "&amp;1&amp;" x "&amp;IF('LAMPIRAN I DONE'!$F$21="Tenaga Pengajar",0.5,IF(OR('LAMPIRAN I DONE'!$F$21="Asisten Ahli",'LAMPIRAN I DONE'!$F$21="Lektor",'LAMPIRAN I DONE'!$F$21="Lektor Kepala",'LAMPIRAN I DONE'!$F$21="Guru Besar"),1,""))&amp;" = "&amp;((10-SUMPRODUCT($I$178:I179,$J$178:J179))*IF('LAMPIRAN I DONE'!$F$21="Tenaga Pengajar",0.5,IF(OR('LAMPIRAN I DONE'!$F$21="Asisten Ahli",'LAMPIRAN I DONE'!$F$21="Lektor",'LAMPIRAN I DONE'!$F$21="Lektor Kepala",'LAMPIRAN I DONE'!$F$21="Guru Besar"),1,""))))&amp;"
"&amp;(((I180*J180)-(10-SUMPRODUCT($I$178:I179,$J$178:J179)))&amp;" x "&amp;1&amp;" x "&amp;IF('LAMPIRAN I DONE'!$F$21="Tenaga Pengajar",0.25,IF(OR('LAMPIRAN I DONE'!$F$21="Asisten Ahli",'LAMPIRAN I DONE'!$F$21="Lektor",'LAMPIRAN I DONE'!$F$21="Lektor Kepala",'LAMPIRAN I DONE'!$F$21="Guru Besar"),0.5,""))&amp;" = "&amp;(((I180*J180)-(10-SUMPRODUCT($I$178:I179,$J$178:J179)))*IF('LAMPIRAN I DONE'!$F$21="Tenaga Pengajar",0.25,IF(OR('LAMPIRAN I DONE'!$F$21="Asisten Ahli",'LAMPIRAN I DONE'!$F$21="Lektor",'LAMPIRAN I DONE'!$F$21="Lektor Kepala",'LAMPIRAN I DONE'!$F$21="Guru Besar"),0.5,""))))),(I180&amp;" x "&amp;J180&amp;" x "&amp;(IF(OR(AND(L180="sks&gt;10",L179="sks&gt;10"),AND(L180="sks&gt;10",L179="sks&lt;=10")),IF('LAMPIRAN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Besar"),1,""))))&amp;" = "&amp;K180))),"rumus")</f>
        <v>4 x 1 x 1 = 4</v>
      </c>
      <c r="H180" s="820" t="s">
        <v>884</v>
      </c>
      <c r="I180" s="824">
        <v>4</v>
      </c>
      <c r="J180" s="824">
        <v>1</v>
      </c>
      <c r="K180" s="27">
        <f>IF(AND(I180&lt;&gt;"",J180&lt;&gt;""),(IF(OR(AND(L180="sks&gt;10",L179="sks&lt;=10",IFERROR(SUMPRODUCT($I$178:I179,$J$178:J179)&lt;10,FALSE)),AND(L180="sks&gt;10",L179="")),(((10-SUMPRODUCT($I$178:I179,$J$178:J179))*IF('LAMPIRAN I DONE'!$F$21="Tenaga Pengajar",0.5,IF(OR('LAMPIRAN I DONE'!$F$21="Asisten Ahli",'LAMPIRAN I DONE'!$F$21="Lektor",'LAMPIRAN I DONE'!$F$21="Lektor Kepala",'LAMPIRAN I DONE'!$F$21="Guru Besar"),1,"")))+(((I180*J180)-(10-SUMPRODUCT($I$178:I179,$J$178:J179)))*IF('LAMPIRAN I DONE'!$F$21="Tenaga Pengajar",0.25,IF(OR('LAMPIRAN I DONE'!$F$21="Asisten Ahli",'LAMPIRAN I DONE'!$F$21="Lektor",'LAMPIRAN I DONE'!$F$21="Lektor Kepala",'LAMPIRAN I DONE'!$F$21="Guru Besar"),0.5,"")))),IF(OR(AND(L180="sks&gt;10",L179="sks&gt;10"),AND(L180="sks&gt;10",L179="sks&lt;=10")),I180*J180*IF('LAMPIRAN I DONE'!$F$21="Tenaga Pengajar",0.25,IF(OR('LAMPIRAN I DONE'!$F$21="Asisten Ahli",'LAMPIRAN I DONE'!$F$21="Lektor",'LAMPIRAN I DONE'!$F$21="Lektor Kepala",'LAMPIRAN I DONE'!$F$21="Guru Besar"),0.5,"")),I180*J180*IF('LAMPIRAN I DONE'!$F$21="Tenaga Pengajar",0.5,IF(OR('LAMPIRAN I DONE'!$F$21="Asisten Ahli",'LAMPIRAN I DONE'!$F$21="Lektor",'LAMPIRAN I DONE'!$F$21="Lektor Kepala",'LAMPIRAN I DONE'!$F$21="Guru Besar"),1,""))))),"rumus")</f>
        <v>4</v>
      </c>
      <c r="L180" s="27" t="str">
        <f>IF(AND(I180&lt;&gt;"",J180&lt;&gt;""),(IF(SUMPRODUCT($I$179:I180,$J$179:J180)&lt;=10,"SKS&lt;=10",IF(SUMPRODUCT($I$179:I180,$J$179:J180)&gt;10,"SKS&gt;10",""))),"rumus")</f>
        <v>SKS&lt;=10</v>
      </c>
    </row>
    <row r="181" spans="1:14" s="2" customFormat="1" ht="25.5" customHeight="1" x14ac:dyDescent="0.45">
      <c r="A181" s="67">
        <v>3</v>
      </c>
      <c r="B181" s="823" t="s">
        <v>878</v>
      </c>
      <c r="C181" s="28" t="s">
        <v>252</v>
      </c>
      <c r="D181" s="28" t="str">
        <f t="shared" si="27"/>
        <v>SKS</v>
      </c>
      <c r="E181" s="256" t="str">
        <f>IF(K181&lt;&gt;"rumus",(IF(OR(AND(L181="sks&gt;10",L180="sks&lt;=10",IFERROR(SUMPRODUCT($I$178:I180,$J$178:J180)&lt;10,FALSE)),AND(L181="sks&gt;10",L180="")),(((10-SUMPRODUCT($I$178:I180,$J$178:J180))&amp;" x "&amp;1)&amp;"
"&amp;(((I181*J181)-(10-SUMPRODUCT($I$178:I180,$J$178:J180)))&amp;" x "&amp;1)),(I181&amp;" x "&amp;J181))),"")</f>
        <v>2 x 1</v>
      </c>
      <c r="F181" s="256">
        <f>IF(K181&lt;&gt;"rumus",(IF(OR(AND(L181="sks&gt;10",L180="sks&lt;=10",IFERROR(SUMPRODUCT($I$178:I180,$J$178:J180)&lt;10,FALSE)),AND(L181="sks&gt;10",L180="")),((IF('LAMPIRAN I DONE'!$F$21="Tenaga Pengajar",0.5,IF(OR('LAMPIRAN I DONE'!$F$21="Asisten Ahli",'LAMPIRAN I DONE'!$F$21="Lektor",'LAMPIRAN I DONE'!$F$21="Lektor Kepala",'LAMPIRAN I DONE'!$F$21="Guru Besar"),1,"")))&amp;"
"&amp;(IF('LAMPIRAN I DONE'!$F$21="Tenaga Pengajar",0.25,IF(OR('LAMPIRAN I DONE'!$F$21="Asisten Ahli",'LAMPIRAN I DONE'!$F$21="Lektor",'LAMPIRAN I DONE'!$F$21="Lektor Kepala",'LAMPIRAN I DONE'!$F$21="Guru Besar"),0.5,"")))),((IF(OR(AND(L181="sks&gt;10",L180="sks&gt;10"),AND(L181="sks&gt;10",L180="sks&lt;=10")),IF('LAMPIRAN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f>
        <v>1</v>
      </c>
      <c r="G181" s="105" t="str">
        <f>IF(K181&lt;&gt;"rumus",(IF(OR(AND(L181="sks&gt;10",L180="sks&lt;=10",IFERROR(SUMPRODUCT($I$178:I180,$J$178:J180)&lt;10,FALSE)),AND(L181="sks&gt;10",L180="")),(((10-SUMPRODUCT($I$178:I180,$J$178:J180))&amp;" x "&amp;1&amp;" x "&amp;IF('LAMPIRAN I DONE'!$F$21="Tenaga Pengajar",0.5,IF(OR('LAMPIRAN I DONE'!$F$21="Asisten Ahli",'LAMPIRAN I DONE'!$F$21="Lektor",'LAMPIRAN I DONE'!$F$21="Lektor Kepala",'LAMPIRAN I DONE'!$F$21="Guru Besar"),1,""))&amp;" = "&amp;((10-SUMPRODUCT($I$178:I180,$J$178:J180))*IF('LAMPIRAN I DONE'!$F$21="Tenaga Pengajar",0.5,IF(OR('LAMPIRAN I DONE'!$F$21="Asisten Ahli",'LAMPIRAN I DONE'!$F$21="Lektor",'LAMPIRAN I DONE'!$F$21="Lektor Kepala",'LAMPIRAN I DONE'!$F$21="Guru Besar"),1,""))))&amp;"
"&amp;(((I181*J181)-(10-SUMPRODUCT($I$178:I180,$J$178:J180)))&amp;" x "&amp;1&amp;" x "&amp;IF('LAMPIRAN I DONE'!$F$21="Tenaga Pengajar",0.25,IF(OR('LAMPIRAN I DONE'!$F$21="Asisten Ahli",'LAMPIRAN I DONE'!$F$21="Lektor",'LAMPIRAN I DONE'!$F$21="Lektor Kepala",'LAMPIRAN I DONE'!$F$21="Guru Besar"),0.5,""))&amp;" = "&amp;(((I181*J181)-(10-SUMPRODUCT($I$178:I180,$J$178:J180)))*IF('LAMPIRAN I DONE'!$F$21="Tenaga Pengajar",0.25,IF(OR('LAMPIRAN I DONE'!$F$21="Asisten Ahli",'LAMPIRAN I DONE'!$F$21="Lektor",'LAMPIRAN I DONE'!$F$21="Lektor Kepala",'LAMPIRAN I DONE'!$F$21="Guru Besar"),0.5,""))))),(I181&amp;" x "&amp;J181&amp;" x "&amp;(IF(OR(AND(L181="sks&gt;10",L180="sks&gt;10"),AND(L181="sks&gt;10",L180="sks&lt;=10")),IF('LAMPIRAN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Besar"),1,""))))&amp;" = "&amp;K181))),"rumus")</f>
        <v>2 x 1 x 1 = 2</v>
      </c>
      <c r="H181" s="820" t="s">
        <v>884</v>
      </c>
      <c r="I181" s="824">
        <v>2</v>
      </c>
      <c r="J181" s="824">
        <v>1</v>
      </c>
      <c r="K181" s="27">
        <f>IF(AND(I181&lt;&gt;"",J181&lt;&gt;""),(IF(OR(AND(L181="sks&gt;10",L180="sks&lt;=10",IFERROR(SUMPRODUCT($I$178:I180,$J$178:J180)&lt;10,FALSE)),AND(L181="sks&gt;10",L180="")),(((10-SUMPRODUCT($I$178:I180,$J$178:J180))*IF('LAMPIRAN I DONE'!$F$21="Tenaga Pengajar",0.5,IF(OR('LAMPIRAN I DONE'!$F$21="Asisten Ahli",'LAMPIRAN I DONE'!$F$21="Lektor",'LAMPIRAN I DONE'!$F$21="Lektor Kepala",'LAMPIRAN I DONE'!$F$21="Guru Besar"),1,"")))+(((I181*J181)-(10-SUMPRODUCT($I$178:I180,$J$178:J180)))*IF('LAMPIRAN I DONE'!$F$21="Tenaga Pengajar",0.25,IF(OR('LAMPIRAN I DONE'!$F$21="Asisten Ahli",'LAMPIRAN I DONE'!$F$21="Lektor",'LAMPIRAN I DONE'!$F$21="Lektor Kepala",'LAMPIRAN I DONE'!$F$21="Guru Besar"),0.5,"")))),IF(OR(AND(L181="sks&gt;10",L180="sks&gt;10"),AND(L181="sks&gt;10",L180="sks&lt;=10")),I181*J181*IF('LAMPIRAN I DONE'!$F$21="Tenaga Pengajar",0.25,IF(OR('LAMPIRAN I DONE'!$F$21="Asisten Ahli",'LAMPIRAN I DONE'!$F$21="Lektor",'LAMPIRAN I DONE'!$F$21="Lektor Kepala",'LAMPIRAN I DONE'!$F$21="Guru Besar"),0.5,"")),I181*J181*IF('LAMPIRAN I DONE'!$F$21="Tenaga Pengajar",0.5,IF(OR('LAMPIRAN I DONE'!$F$21="Asisten Ahli",'LAMPIRAN I DONE'!$F$21="Lektor",'LAMPIRAN I DONE'!$F$21="Lektor Kepala",'LAMPIRAN I DONE'!$F$21="Guru Besar"),1,""))))),"rumus")</f>
        <v>2</v>
      </c>
      <c r="L181" s="27" t="str">
        <f>IF(AND(I181&lt;&gt;"",J181&lt;&gt;""),(IF(SUMPRODUCT($I$179:I181,$J$179:J181)&lt;=10,"SKS&lt;=10",IF(SUMPRODUCT($I$179:I181,$J$179:J181)&gt;10,"SKS&gt;10",""))),"rumus")</f>
        <v>SKS&lt;=10</v>
      </c>
    </row>
    <row r="182" spans="1:14" s="2" customFormat="1" ht="25.5" customHeight="1" x14ac:dyDescent="0.45">
      <c r="A182" s="67">
        <v>4</v>
      </c>
      <c r="B182" s="823" t="s">
        <v>879</v>
      </c>
      <c r="C182" s="28" t="s">
        <v>252</v>
      </c>
      <c r="D182" s="28" t="str">
        <f t="shared" si="27"/>
        <v>SKS</v>
      </c>
      <c r="E182" s="256" t="str">
        <f>IF(K182&lt;&gt;"rumus",(IF(OR(AND(L182="sks&gt;10",L181="sks&lt;=10",IFERROR(SUMPRODUCT($I$178:I181,$J$178:J181)&lt;10,FALSE)),AND(L182="sks&gt;10",L181="")),(((10-SUMPRODUCT($I$178:I181,$J$178:J181))&amp;" x "&amp;1)&amp;"
"&amp;(((I182*J182)-(10-SUMPRODUCT($I$178:I181,$J$178:J181)))&amp;" x "&amp;1)),(I182&amp;" x "&amp;J182))),"")</f>
        <v>2 x 1
1 x 1</v>
      </c>
      <c r="F182" s="256" t="str">
        <f>IF(K182&lt;&gt;"rumus",(IF(OR(AND(L182="sks&gt;10",L181="sks&lt;=10",IFERROR(SUMPRODUCT($I$178:I181,$J$178:J181)&lt;10,FALSE)),AND(L182="sks&gt;10",L181="")),((IF('LAMPIRAN I DONE'!$F$21="Tenaga Pengajar",0.5,IF(OR('LAMPIRAN I DONE'!$F$21="Asisten Ahli",'LAMPIRAN I DONE'!$F$21="Lektor",'LAMPIRAN I DONE'!$F$21="Lektor Kepala",'LAMPIRAN I DONE'!$F$21="Guru Besar"),1,"")))&amp;"
"&amp;(IF('LAMPIRAN I DONE'!$F$21="Tenaga Pengajar",0.25,IF(OR('LAMPIRAN I DONE'!$F$21="Asisten Ahli",'LAMPIRAN I DONE'!$F$21="Lektor",'LAMPIRAN I DONE'!$F$21="Lektor Kepala",'LAMPIRAN I DONE'!$F$21="Guru Besar"),0.5,"")))),((IF(OR(AND(L182="sks&gt;10",L181="sks&gt;10"),AND(L182="sks&gt;10",L181="sks&lt;=10")),IF('LAMPIRAN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f>
        <v>1
0,5</v>
      </c>
      <c r="G182" s="105" t="str">
        <f>IF(K182&lt;&gt;"rumus",(IF(OR(AND(L182="sks&gt;10",L181="sks&lt;=10",IFERROR(SUMPRODUCT($I$178:I181,$J$178:J181)&lt;10,FALSE)),AND(L182="sks&gt;10",L181="")),(((10-SUMPRODUCT($I$178:I181,$J$178:J181))&amp;" x "&amp;1&amp;" x "&amp;IF('LAMPIRAN I DONE'!$F$21="Tenaga Pengajar",0.5,IF(OR('LAMPIRAN I DONE'!$F$21="Asisten Ahli",'LAMPIRAN I DONE'!$F$21="Lektor",'LAMPIRAN I DONE'!$F$21="Lektor Kepala",'LAMPIRAN I DONE'!$F$21="Guru Besar"),1,""))&amp;" = "&amp;((10-SUMPRODUCT($I$178:I181,$J$178:J181))*IF('LAMPIRAN I DONE'!$F$21="Tenaga Pengajar",0.5,IF(OR('LAMPIRAN I DONE'!$F$21="Asisten Ahli",'LAMPIRAN I DONE'!$F$21="Lektor",'LAMPIRAN I DONE'!$F$21="Lektor Kepala",'LAMPIRAN I DONE'!$F$21="Guru Besar"),1,""))))&amp;"
"&amp;(((I182*J182)-(10-SUMPRODUCT($I$178:I181,$J$178:J181)))&amp;" x "&amp;1&amp;" x "&amp;IF('LAMPIRAN I DONE'!$F$21="Tenaga Pengajar",0.25,IF(OR('LAMPIRAN I DONE'!$F$21="Asisten Ahli",'LAMPIRAN I DONE'!$F$21="Lektor",'LAMPIRAN I DONE'!$F$21="Lektor Kepala",'LAMPIRAN I DONE'!$F$21="Guru Besar"),0.5,""))&amp;" = "&amp;(((I182*J182)-(10-SUMPRODUCT($I$178:I181,$J$178:J181)))*IF('LAMPIRAN I DONE'!$F$21="Tenaga Pengajar",0.25,IF(OR('LAMPIRAN I DONE'!$F$21="Asisten Ahli",'LAMPIRAN I DONE'!$F$21="Lektor",'LAMPIRAN I DONE'!$F$21="Lektor Kepala",'LAMPIRAN I DONE'!$F$21="Guru Besar"),0.5,""))))),(I182&amp;" x "&amp;J182&amp;" x "&amp;(IF(OR(AND(L182="sks&gt;10",L181="sks&gt;10"),AND(L182="sks&gt;10",L181="sks&lt;=10")),IF('LAMPIRAN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Besar"),1,""))))&amp;" = "&amp;K182))),"rumus")</f>
        <v>2 x 1 x 1 = 2
1 x 1 x 0,5 = 0,5</v>
      </c>
      <c r="H182" s="820" t="s">
        <v>884</v>
      </c>
      <c r="I182" s="824">
        <v>3</v>
      </c>
      <c r="J182" s="824">
        <v>1</v>
      </c>
      <c r="K182" s="27">
        <f>IF(AND(I182&lt;&gt;"",J182&lt;&gt;""),(IF(OR(AND(L182="sks&gt;10",L181="sks&lt;=10",IFERROR(SUMPRODUCT($I$178:I181,$J$178:J181)&lt;10,FALSE)),AND(L182="sks&gt;10",L181="")),(((10-SUMPRODUCT($I$178:I181,$J$178:J181))*IF('LAMPIRAN I DONE'!$F$21="Tenaga Pengajar",0.5,IF(OR('LAMPIRAN I DONE'!$F$21="Asisten Ahli",'LAMPIRAN I DONE'!$F$21="Lektor",'LAMPIRAN I DONE'!$F$21="Lektor Kepala",'LAMPIRAN I DONE'!$F$21="Guru Besar"),1,"")))+(((I182*J182)-(10-SUMPRODUCT($I$178:I181,$J$178:J181)))*IF('LAMPIRAN I DONE'!$F$21="Tenaga Pengajar",0.25,IF(OR('LAMPIRAN I DONE'!$F$21="Asisten Ahli",'LAMPIRAN I DONE'!$F$21="Lektor",'LAMPIRAN I DONE'!$F$21="Lektor Kepala",'LAMPIRAN I DONE'!$F$21="Guru Besar"),0.5,"")))),IF(OR(AND(L182="sks&gt;10",L181="sks&gt;10"),AND(L182="sks&gt;10",L181="sks&lt;=10")),I182*J182*IF('LAMPIRAN I DONE'!$F$21="Tenaga Pengajar",0.25,IF(OR('LAMPIRAN I DONE'!$F$21="Asisten Ahli",'LAMPIRAN I DONE'!$F$21="Lektor",'LAMPIRAN I DONE'!$F$21="Lektor Kepala",'LAMPIRAN I DONE'!$F$21="Guru Besar"),0.5,"")),I182*J182*IF('LAMPIRAN I DONE'!$F$21="Tenaga Pengajar",0.5,IF(OR('LAMPIRAN I DONE'!$F$21="Asisten Ahli",'LAMPIRAN I DONE'!$F$21="Lektor",'LAMPIRAN I DONE'!$F$21="Lektor Kepala",'LAMPIRAN I DONE'!$F$21="Guru Besar"),1,""))))),"rumus")</f>
        <v>2.5</v>
      </c>
      <c r="L182" s="27" t="str">
        <f>IF(AND(I182&lt;&gt;"",J182&lt;&gt;""),(IF(SUMPRODUCT($I$179:I182,$J$179:J182)&lt;=10,"SKS&lt;=10",IF(SUMPRODUCT($I$179:I182,$J$179:J182)&gt;10,"SKS&gt;10",""))),"rumus")</f>
        <v>SKS&gt;10</v>
      </c>
    </row>
    <row r="183" spans="1:14" s="2" customFormat="1" ht="25.5" hidden="1" customHeight="1" x14ac:dyDescent="0.45">
      <c r="A183" s="67">
        <v>5</v>
      </c>
      <c r="B183" s="163" t="s">
        <v>81</v>
      </c>
      <c r="C183" s="28" t="s">
        <v>252</v>
      </c>
      <c r="D183" s="28" t="str">
        <f t="shared" si="27"/>
        <v/>
      </c>
      <c r="E183" s="256" t="str">
        <f>IF(K183&lt;&gt;"rumus",(IF(OR(AND(L183="sks&gt;10",L182="sks&lt;=10",IFERROR(SUMPRODUCT($I$178:I182,$J$178:J182)&lt;10,FALSE)),AND(L183="sks&gt;10",L182="")),(((10-SUMPRODUCT($I$178:I182,$J$178:J182))&amp;" x "&amp;1)&amp;"
"&amp;(((I183*J183)-(10-SUMPRODUCT($I$178:I182,$J$178:J182)))&amp;" x "&amp;1)),(I183&amp;" x "&amp;J183))),"")</f>
        <v/>
      </c>
      <c r="F183" s="256" t="str">
        <f>IF(K183&lt;&gt;"rumus",(IF(OR(AND(L183="sks&gt;10",L182="sks&lt;=10",IFERROR(SUMPRODUCT($I$178:I182,$J$178:J182)&lt;10,FALSE)),AND(L183="sks&gt;10",L182="")),((IF('LAMPIRAN I DONE'!$F$21="Tenaga Pengajar",0.5,IF(OR('LAMPIRAN I DONE'!$F$21="Asisten Ahli",'LAMPIRAN I DONE'!$F$21="Lektor",'LAMPIRAN I DONE'!$F$21="Lektor Kepala",'LAMPIRAN I DONE'!$F$21="Guru Besar"),1,"")))&amp;"
"&amp;(IF('LAMPIRAN I DONE'!$F$21="Tenaga Pengajar",0.25,IF(OR('LAMPIRAN I DONE'!$F$21="Asisten Ahli",'LAMPIRAN I DONE'!$F$21="Lektor",'LAMPIRAN I DONE'!$F$21="Lektor Kepala",'LAMPIRAN I DONE'!$F$21="Guru Besar"),0.5,"")))),((IF(OR(AND(L183="sks&gt;10",L182="sks&gt;10"),AND(L183="sks&gt;10",L182="sks&lt;=10")),IF('LAMPIRAN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f>
        <v/>
      </c>
      <c r="G183" s="105" t="str">
        <f>IF(K183&lt;&gt;"rumus",(IF(OR(AND(L183="sks&gt;10",L182="sks&lt;=10",IFERROR(SUMPRODUCT($I$178:I182,$J$178:J182)&lt;10,FALSE)),AND(L183="sks&gt;10",L182="")),(((10-SUMPRODUCT($I$178:I182,$J$178:J182))&amp;" x "&amp;1&amp;" x "&amp;IF('LAMPIRAN I DONE'!$F$21="Tenaga Pengajar",0.5,IF(OR('LAMPIRAN I DONE'!$F$21="Asisten Ahli",'LAMPIRAN I DONE'!$F$21="Lektor",'LAMPIRAN I DONE'!$F$21="Lektor Kepala",'LAMPIRAN I DONE'!$F$21="Guru Besar"),1,""))&amp;" = "&amp;((10-SUMPRODUCT($I$178:I182,$J$178:J182))*IF('LAMPIRAN I DONE'!$F$21="Tenaga Pengajar",0.5,IF(OR('LAMPIRAN I DONE'!$F$21="Asisten Ahli",'LAMPIRAN I DONE'!$F$21="Lektor",'LAMPIRAN I DONE'!$F$21="Lektor Kepala",'LAMPIRAN I DONE'!$F$21="Guru Besar"),1,""))))&amp;"
"&amp;(((I183*J183)-(10-SUMPRODUCT($I$178:I182,$J$178:J182)))&amp;" x "&amp;1&amp;" x "&amp;IF('LAMPIRAN I DONE'!$F$21="Tenaga Pengajar",0.25,IF(OR('LAMPIRAN I DONE'!$F$21="Asisten Ahli",'LAMPIRAN I DONE'!$F$21="Lektor",'LAMPIRAN I DONE'!$F$21="Lektor Kepala",'LAMPIRAN I DONE'!$F$21="Guru Besar"),0.5,""))&amp;" = "&amp;(((I183*J183)-(10-SUMPRODUCT($I$178:I182,$J$178:J182)))*IF('LAMPIRAN I DONE'!$F$21="Tenaga Pengajar",0.25,IF(OR('LAMPIRAN I DONE'!$F$21="Asisten Ahli",'LAMPIRAN I DONE'!$F$21="Lektor",'LAMPIRAN I DONE'!$F$21="Lektor Kepala",'LAMPIRAN I DONE'!$F$21="Guru Besar"),0.5,""))))),(I183&amp;" x "&amp;J183&amp;" x "&amp;(IF(OR(AND(L183="sks&gt;10",L182="sks&gt;10"),AND(L183="sks&gt;10",L182="sks&lt;=10")),IF('LAMPIRAN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Besar"),1,""))))&amp;" = "&amp;K183))),"rumus")</f>
        <v>rumus</v>
      </c>
      <c r="H183" s="820" t="s">
        <v>620</v>
      </c>
      <c r="I183" s="34"/>
      <c r="J183" s="34"/>
      <c r="K183" s="27" t="str">
        <f>IF(AND(I183&lt;&gt;"",J183&lt;&gt;""),(IF(OR(AND(L183="sks&gt;10",L182="sks&lt;=10",IFERROR(SUMPRODUCT($I$178:I182,$J$178:J182)&lt;10,FALSE)),AND(L183="sks&gt;10",L182="")),(((10-SUMPRODUCT($I$178:I182,$J$178:J182))*IF('LAMPIRAN I DONE'!$F$21="Tenaga Pengajar",0.5,IF(OR('LAMPIRAN I DONE'!$F$21="Asisten Ahli",'LAMPIRAN I DONE'!$F$21="Lektor",'LAMPIRAN I DONE'!$F$21="Lektor Kepala",'LAMPIRAN I DONE'!$F$21="Guru Besar"),1,"")))+(((I183*J183)-(10-SUMPRODUCT($I$178:I182,$J$178:J182)))*IF('LAMPIRAN I DONE'!$F$21="Tenaga Pengajar",0.25,IF(OR('LAMPIRAN I DONE'!$F$21="Asisten Ahli",'LAMPIRAN I DONE'!$F$21="Lektor",'LAMPIRAN I DONE'!$F$21="Lektor Kepala",'LAMPIRAN I DONE'!$F$21="Guru Besar"),0.5,"")))),IF(OR(AND(L183="sks&gt;10",L182="sks&gt;10"),AND(L183="sks&gt;10",L182="sks&lt;=10")),I183*J183*IF('LAMPIRAN I DONE'!$F$21="Tenaga Pengajar",0.25,IF(OR('LAMPIRAN I DONE'!$F$21="Asisten Ahli",'LAMPIRAN I DONE'!$F$21="Lektor",'LAMPIRAN I DONE'!$F$21="Lektor Kepala",'LAMPIRAN I DONE'!$F$21="Guru Besar"),0.5,"")),I183*J183*IF('LAMPIRAN I DONE'!$F$21="Tenaga Pengajar",0.5,IF(OR('LAMPIRAN I DONE'!$F$21="Asisten Ahli",'LAMPIRAN I DONE'!$F$21="Lektor",'LAMPIRAN I DONE'!$F$21="Lektor Kepala",'LAMPIRAN I DONE'!$F$21="Guru Besar"),1,""))))),"rumus")</f>
        <v>rumus</v>
      </c>
      <c r="L183" s="27" t="str">
        <f>IF(AND(I183&lt;&gt;"",J183&lt;&gt;""),(IF(SUMPRODUCT($I$179:I183,$J$179:J183)&lt;=10,"SKS&lt;=10",IF(SUMPRODUCT($I$179:I183,$J$179:J183)&gt;10,"SKS&gt;10",""))),"rumus")</f>
        <v>rumus</v>
      </c>
    </row>
    <row r="184" spans="1:14" s="2" customFormat="1" ht="25.5" hidden="1" customHeight="1" x14ac:dyDescent="0.45">
      <c r="A184" s="67">
        <v>6</v>
      </c>
      <c r="B184" s="163" t="s">
        <v>81</v>
      </c>
      <c r="C184" s="28" t="s">
        <v>252</v>
      </c>
      <c r="D184" s="28" t="str">
        <f t="shared" si="27"/>
        <v/>
      </c>
      <c r="E184" s="256" t="str">
        <f>IF(K184&lt;&gt;"rumus",(IF(OR(AND(L184="sks&gt;10",L183="sks&lt;=10",IFERROR(SUMPRODUCT($I$178:I183,$J$178:J183)&lt;10,FALSE)),AND(L184="sks&gt;10",L183="")),(((10-SUMPRODUCT($I$178:I183,$J$178:J183))&amp;" x "&amp;1)&amp;"
"&amp;(((I184*J184)-(10-SUMPRODUCT($I$178:I183,$J$178:J183)))&amp;" x "&amp;1)),(I184&amp;" x "&amp;J184))),"")</f>
        <v/>
      </c>
      <c r="F184" s="256" t="str">
        <f>IF(K184&lt;&gt;"rumus",(IF(OR(AND(L184="sks&gt;10",L183="sks&lt;=10",IFERROR(SUMPRODUCT($I$178:I183,$J$178:J183)&lt;10,FALSE)),AND(L184="sks&gt;10",L183="")),((IF('LAMPIRAN I DONE'!$F$21="Tenaga Pengajar",0.5,IF(OR('LAMPIRAN I DONE'!$F$21="Asisten Ahli",'LAMPIRAN I DONE'!$F$21="Lektor",'LAMPIRAN I DONE'!$F$21="Lektor Kepala",'LAMPIRAN I DONE'!$F$21="Guru Besar"),1,"")))&amp;"
"&amp;(IF('LAMPIRAN I DONE'!$F$21="Tenaga Pengajar",0.25,IF(OR('LAMPIRAN I DONE'!$F$21="Asisten Ahli",'LAMPIRAN I DONE'!$F$21="Lektor",'LAMPIRAN I DONE'!$F$21="Lektor Kepala",'LAMPIRAN I DONE'!$F$21="Guru Besar"),0.5,"")))),((IF(OR(AND(L184="sks&gt;10",L183="sks&gt;10"),AND(L184="sks&gt;10",L183="sks&lt;=10")),IF('LAMPIRAN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f>
        <v/>
      </c>
      <c r="G184" s="105" t="str">
        <f>IF(K184&lt;&gt;"rumus",(IF(OR(AND(L184="sks&gt;10",L183="sks&lt;=10",IFERROR(SUMPRODUCT($I$178:I183,$J$178:J183)&lt;10,FALSE)),AND(L184="sks&gt;10",L183="")),(((10-SUMPRODUCT($I$178:I183,$J$178:J183))&amp;" x "&amp;1&amp;" x "&amp;IF('LAMPIRAN I DONE'!$F$21="Tenaga Pengajar",0.5,IF(OR('LAMPIRAN I DONE'!$F$21="Asisten Ahli",'LAMPIRAN I DONE'!$F$21="Lektor",'LAMPIRAN I DONE'!$F$21="Lektor Kepala",'LAMPIRAN I DONE'!$F$21="Guru Besar"),1,""))&amp;" = "&amp;((10-SUMPRODUCT($I$178:I183,$J$178:J183))*IF('LAMPIRAN I DONE'!$F$21="Tenaga Pengajar",0.5,IF(OR('LAMPIRAN I DONE'!$F$21="Asisten Ahli",'LAMPIRAN I DONE'!$F$21="Lektor",'LAMPIRAN I DONE'!$F$21="Lektor Kepala",'LAMPIRAN I DONE'!$F$21="Guru Besar"),1,""))))&amp;"
"&amp;(((I184*J184)-(10-SUMPRODUCT($I$178:I183,$J$178:J183)))&amp;" x "&amp;1&amp;" x "&amp;IF('LAMPIRAN I DONE'!$F$21="Tenaga Pengajar",0.25,IF(OR('LAMPIRAN I DONE'!$F$21="Asisten Ahli",'LAMPIRAN I DONE'!$F$21="Lektor",'LAMPIRAN I DONE'!$F$21="Lektor Kepala",'LAMPIRAN I DONE'!$F$21="Guru Besar"),0.5,""))&amp;" = "&amp;(((I184*J184)-(10-SUMPRODUCT($I$178:I183,$J$178:J183)))*IF('LAMPIRAN I DONE'!$F$21="Tenaga Pengajar",0.25,IF(OR('LAMPIRAN I DONE'!$F$21="Asisten Ahli",'LAMPIRAN I DONE'!$F$21="Lektor",'LAMPIRAN I DONE'!$F$21="Lektor Kepala",'LAMPIRAN I DONE'!$F$21="Guru Besar"),0.5,""))))),(I184&amp;" x "&amp;J184&amp;" x "&amp;(IF(OR(AND(L184="sks&gt;10",L183="sks&gt;10"),AND(L184="sks&gt;10",L183="sks&lt;=10")),IF('LAMPIRAN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Besar"),1,""))))&amp;" = "&amp;K184))),"rumus")</f>
        <v>rumus</v>
      </c>
      <c r="H184" s="820" t="s">
        <v>620</v>
      </c>
      <c r="I184" s="34"/>
      <c r="J184" s="34"/>
      <c r="K184" s="27" t="str">
        <f>IF(AND(I184&lt;&gt;"",J184&lt;&gt;""),(IF(OR(AND(L184="sks&gt;10",L183="sks&lt;=10",IFERROR(SUMPRODUCT($I$178:I183,$J$178:J183)&lt;10,FALSE)),AND(L184="sks&gt;10",L183="")),(((10-SUMPRODUCT($I$178:I183,$J$178:J183))*IF('LAMPIRAN I DONE'!$F$21="Tenaga Pengajar",0.5,IF(OR('LAMPIRAN I DONE'!$F$21="Asisten Ahli",'LAMPIRAN I DONE'!$F$21="Lektor",'LAMPIRAN I DONE'!$F$21="Lektor Kepala",'LAMPIRAN I DONE'!$F$21="Guru Besar"),1,"")))+(((I184*J184)-(10-SUMPRODUCT($I$178:I183,$J$178:J183)))*IF('LAMPIRAN I DONE'!$F$21="Tenaga Pengajar",0.25,IF(OR('LAMPIRAN I DONE'!$F$21="Asisten Ahli",'LAMPIRAN I DONE'!$F$21="Lektor",'LAMPIRAN I DONE'!$F$21="Lektor Kepala",'LAMPIRAN I DONE'!$F$21="Guru Besar"),0.5,"")))),IF(OR(AND(L184="sks&gt;10",L183="sks&gt;10"),AND(L184="sks&gt;10",L183="sks&lt;=10")),I184*J184*IF('LAMPIRAN I DONE'!$F$21="Tenaga Pengajar",0.25,IF(OR('LAMPIRAN I DONE'!$F$21="Asisten Ahli",'LAMPIRAN I DONE'!$F$21="Lektor",'LAMPIRAN I DONE'!$F$21="Lektor Kepala",'LAMPIRAN I DONE'!$F$21="Guru Besar"),0.5,"")),I184*J184*IF('LAMPIRAN I DONE'!$F$21="Tenaga Pengajar",0.5,IF(OR('LAMPIRAN I DONE'!$F$21="Asisten Ahli",'LAMPIRAN I DONE'!$F$21="Lektor",'LAMPIRAN I DONE'!$F$21="Lektor Kepala",'LAMPIRAN I DONE'!$F$21="Guru Besar"),1,""))))),"rumus")</f>
        <v>rumus</v>
      </c>
      <c r="L184" s="27" t="str">
        <f>IF(AND(I184&lt;&gt;"",J184&lt;&gt;""),(IF(SUMPRODUCT($I$179:I184,$J$179:J184)&lt;=10,"SKS&lt;=10",IF(SUMPRODUCT($I$179:I184,$J$179:J184)&gt;10,"SKS&gt;10",""))),"rumus")</f>
        <v>rumus</v>
      </c>
    </row>
    <row r="185" spans="1:14" s="2" customFormat="1" ht="15" customHeight="1" x14ac:dyDescent="0.45">
      <c r="A185" s="67"/>
      <c r="B185" s="168" t="str">
        <f>"b. Semester Genap "&amp;IF(C186&lt;&gt;"",C186,"")&amp;" :"</f>
        <v>b. Semester Genap 2016/2017 :</v>
      </c>
      <c r="C185" s="30"/>
      <c r="D185" s="30"/>
      <c r="E185" s="30"/>
      <c r="F185" s="30"/>
      <c r="G185" s="30"/>
      <c r="H185" s="54"/>
      <c r="I185" s="496"/>
      <c r="J185" s="496"/>
      <c r="M185" s="104">
        <f>IF((AND(N185="Max 5,5",SUM(K179:K184)&lt;=5.5)),SUM(K179:K184),IF((AND(N185="Max 5,5",SUM(K179:K184)&gt;5.5)),5.5,IF((AND(N185="Max 11",SUM(K179:K184)&lt;=11)),SUM(K179:K184),IF((AND(N185="Max 11",SUM(K179:K184)&gt;11)),11,""))))</f>
        <v>10.5</v>
      </c>
      <c r="N185" s="33" t="str">
        <f>IF('LAMPIRAN I DONE'!$F$21="Tenaga Pengajar","Max 5,5",IF(OR('LAMPIRAN I DONE'!$F$21="Asisten Ahli",'LAMPIRAN I DONE'!$F$21="Lektor",'LAMPIRAN I DONE'!$F$21="Lektor Kepala",'LAMPIRAN I DONE'!$F$21="Guru Besar"),"Max 11",""))</f>
        <v>Max 11</v>
      </c>
    </row>
    <row r="186" spans="1:14" s="2" customFormat="1" ht="25.5" customHeight="1" x14ac:dyDescent="0.45">
      <c r="A186" s="67">
        <v>1</v>
      </c>
      <c r="B186" s="823" t="s">
        <v>880</v>
      </c>
      <c r="C186" s="822" t="s">
        <v>798</v>
      </c>
      <c r="D186" s="28" t="str">
        <f>IF(G186&lt;&gt;"rumus","SKS","")</f>
        <v>SKS</v>
      </c>
      <c r="E186" s="256" t="str">
        <f>IF(K186&lt;&gt;"rumus",(IF(OR(AND(L186="sks&gt;10",L185="sks&lt;=10",IFERROR(SUMPRODUCT($I$185:I185,$J$185:J185)&lt;10,FALSE)),AND(L186="sks&gt;10",L185="")),(((10-SUMPRODUCT($I$185:I185,$J$185:J185))&amp;" x "&amp;1)&amp;"
"&amp;(((I186*J186)-(10-SUMPRODUCT($I$185:I185,$J$185:J185)))&amp;" x "&amp;1)),(I186&amp;" x "&amp;J186))),"")</f>
        <v>4 x 1</v>
      </c>
      <c r="F186" s="256">
        <f>IF(K186&lt;&gt;"rumus",(IF(OR(AND(L186="sks&gt;10",L185="sks&lt;=10",IFERROR(SUMPRODUCT($I$185:I185,$J$185:J185)&lt;10,FALSE)),AND(L186="sks&gt;10",L185="")),((IF('LAMPIRAN I DONE'!$F$21="Tenaga Pengajar",0.5,IF(OR('LAMPIRAN I DONE'!$F$21="Asisten Ahli",'LAMPIRAN I DONE'!$F$21="Lektor",'LAMPIRAN I DONE'!$F$21="Lektor Kepala",'LAMPIRAN I DONE'!$F$21="Guru Besar"),1,"")))&amp;"
"&amp;(IF('LAMPIRAN I DONE'!$F$21="Tenaga Pengajar",0.25,IF(OR('LAMPIRAN I DONE'!$F$21="Asisten Ahli",'LAMPIRAN I DONE'!$F$21="Lektor",'LAMPIRAN I DONE'!$F$21="Lektor Kepala",'LAMPIRAN I DONE'!$F$21="Guru Besar"),0.5,"")))),((IF(OR(AND(L186="sks&gt;10",L185="sks&gt;10"),AND(L186="sks&gt;10",L185="sks&lt;=10")),IF('LAMPIRAN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f>
        <v>1</v>
      </c>
      <c r="G186" s="105" t="str">
        <f>IF(K186&lt;&gt;"rumus",(IF(OR(AND(L186="sks&gt;10",L185="sks&lt;=10",IFERROR(SUMPRODUCT($I$185:I185,$J$185:J185)&lt;10,FALSE)),AND(L186="sks&gt;10",L185="")),(((10-SUMPRODUCT($I$185:I185,$J$185:J185))&amp;" x "&amp;1&amp;" x "&amp;IF('LAMPIRAN I DONE'!$F$21="Tenaga Pengajar",0.5,IF(OR('LAMPIRAN I DONE'!$F$21="Asisten Ahli",'LAMPIRAN I DONE'!$F$21="Lektor",'LAMPIRAN I DONE'!$F$21="Lektor Kepala",'LAMPIRAN I DONE'!$F$21="Guru Besar"),1,""))&amp;" = "&amp;((10-SUMPRODUCT($I$185:I185,$J$185:J185))*IF('LAMPIRAN I DONE'!$F$21="Tenaga Pengajar",0.5,IF(OR('LAMPIRAN I DONE'!$F$21="Asisten Ahli",'LAMPIRAN I DONE'!$F$21="Lektor",'LAMPIRAN I DONE'!$F$21="Lektor Kepala",'LAMPIRAN I DONE'!$F$21="Guru Besar"),1,""))))&amp;"
"&amp;(((I186*J186)-(10-SUMPRODUCT($I$185:I185,$J$185:J185)))&amp;" x "&amp;1&amp;" x "&amp;IF('LAMPIRAN I DONE'!$F$21="Tenaga Pengajar",0.25,IF(OR('LAMPIRAN I DONE'!$F$21="Asisten Ahli",'LAMPIRAN I DONE'!$F$21="Lektor",'LAMPIRAN I DONE'!$F$21="Lektor Kepala",'LAMPIRAN I DONE'!$F$21="Guru Besar"),0.5,""))&amp;" = "&amp;(((I186*J186)-(10-SUMPRODUCT($I$185:I185,$J$185:J185)))*IF('LAMPIRAN I DONE'!$F$21="Tenaga Pengajar",0.25,IF(OR('LAMPIRAN I DONE'!$F$21="Asisten Ahli",'LAMPIRAN I DONE'!$F$21="Lektor",'LAMPIRAN I DONE'!$F$21="Lektor Kepala",'LAMPIRAN I DONE'!$F$21="Guru Besar"),0.5,""))))),(I186&amp;" x "&amp;J186&amp;" x "&amp;(IF(OR(AND(L186="sks&gt;10",L185="sks&gt;10"),AND(L186="sks&gt;10",L185="sks&lt;=10")),IF('LAMPIRAN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Besar"),1,""))))&amp;" = "&amp;K186))),"rumus")</f>
        <v>4 x 1 x 1 = 4</v>
      </c>
      <c r="H186" s="820" t="s">
        <v>885</v>
      </c>
      <c r="I186" s="824">
        <v>4</v>
      </c>
      <c r="J186" s="824">
        <v>1</v>
      </c>
      <c r="K186" s="27">
        <f>IF(AND(I186&lt;&gt;"",J186&lt;&gt;""),(IF(OR(AND(L186="sks&gt;10",L185="sks&lt;=10",IFERROR(SUMPRODUCT($I$185:I185,$J$185:J185)&lt;10,FALSE)),AND(L186="sks&gt;10",L185="")),(((10-SUMPRODUCT($I$185:I185,$J$185:J185))*IF('LAMPIRAN I DONE'!$F$21="Tenaga Pengajar",0.5,IF(OR('LAMPIRAN I DONE'!$F$21="Asisten Ahli",'LAMPIRAN I DONE'!$F$21="Lektor",'LAMPIRAN I DONE'!$F$21="Lektor Kepala",'LAMPIRAN I DONE'!$F$21="Guru Besar"),1,"")))+(((I186*J186)-(10-SUMPRODUCT($I$185:I185,$J$185:J185)))*IF('LAMPIRAN I DONE'!$F$21="Tenaga Pengajar",0.25,IF(OR('LAMPIRAN I DONE'!$F$21="Asisten Ahli",'LAMPIRAN I DONE'!$F$21="Lektor",'LAMPIRAN I DONE'!$F$21="Lektor Kepala",'LAMPIRAN I DONE'!$F$21="Guru Besar"),0.5,"")))),IF(OR(AND(L186="sks&gt;10",L185="sks&gt;10"),AND(L186="sks&gt;10",L185="sks&lt;=10")),I186*J186*IF('LAMPIRAN I DONE'!$F$21="Tenaga Pengajar",0.25,IF(OR('LAMPIRAN I DONE'!$F$21="Asisten Ahli",'LAMPIRAN I DONE'!$F$21="Lektor",'LAMPIRAN I DONE'!$F$21="Lektor Kepala",'LAMPIRAN I DONE'!$F$21="Guru Besar"),0.5,"")),I186*J186*IF('LAMPIRAN I DONE'!$F$21="Tenaga Pengajar",0.5,IF(OR('LAMPIRAN I DONE'!$F$21="Asisten Ahli",'LAMPIRAN I DONE'!$F$21="Lektor",'LAMPIRAN I DONE'!$F$21="Lektor Kepala",'LAMPIRAN I DONE'!$F$21="Guru Besar"),1,""))))),"rumus")</f>
        <v>4</v>
      </c>
      <c r="L186" s="27" t="str">
        <f>IF(AND(I186&lt;&gt;"",J186&lt;&gt;""),(IF(SUMPRODUCT($I$186:I186,$J$186:J186)&lt;=10,"SKS&lt;=10",IF(SUMPRODUCT($I$186:I186,$J$186:J186)&gt;10,"SKS&gt;10",""))),"rumus")</f>
        <v>SKS&lt;=10</v>
      </c>
    </row>
    <row r="187" spans="1:14" s="2" customFormat="1" ht="25.5" customHeight="1" x14ac:dyDescent="0.45">
      <c r="A187" s="67">
        <v>2</v>
      </c>
      <c r="B187" s="823" t="s">
        <v>881</v>
      </c>
      <c r="C187" s="822" t="s">
        <v>798</v>
      </c>
      <c r="D187" s="28" t="str">
        <f t="shared" ref="D187:D191" si="28">IF(G187&lt;&gt;"rumus","SKS","")</f>
        <v>SKS</v>
      </c>
      <c r="E187" s="256" t="str">
        <f>IF(K187&lt;&gt;"rumus",(IF(OR(AND(L187="sks&gt;10",L186="sks&lt;=10",IFERROR(SUMPRODUCT($I$185:I186,$J$185:J186)&lt;10,FALSE)),AND(L187="sks&gt;10",L186="")),(((10-SUMPRODUCT($I$185:I186,$J$185:J186))&amp;" x "&amp;1)&amp;"
"&amp;(((I187*J187)-(10-SUMPRODUCT($I$185:I186,$J$185:J186)))&amp;" x "&amp;1)),(I187&amp;" x "&amp;J187))),"")</f>
        <v>4 x 1</v>
      </c>
      <c r="F187" s="256">
        <f>IF(K187&lt;&gt;"rumus",(IF(OR(AND(L187="sks&gt;10",L186="sks&lt;=10",IFERROR(SUMPRODUCT($I$185:I186,$J$185:J186)&lt;10,FALSE)),AND(L187="sks&gt;10",L186="")),((IF('LAMPIRAN I DONE'!$F$21="Tenaga Pengajar",0.5,IF(OR('LAMPIRAN I DONE'!$F$21="Asisten Ahli",'LAMPIRAN I DONE'!$F$21="Lektor",'LAMPIRAN I DONE'!$F$21="Lektor Kepala",'LAMPIRAN I DONE'!$F$21="Guru Besar"),1,"")))&amp;"
"&amp;(IF('LAMPIRAN I DONE'!$F$21="Tenaga Pengajar",0.25,IF(OR('LAMPIRAN I DONE'!$F$21="Asisten Ahli",'LAMPIRAN I DONE'!$F$21="Lektor",'LAMPIRAN I DONE'!$F$21="Lektor Kepala",'LAMPIRAN I DONE'!$F$21="Guru Besar"),0.5,"")))),((IF(OR(AND(L187="sks&gt;10",L186="sks&gt;10"),AND(L187="sks&gt;10",L186="sks&lt;=10")),IF('LAMPIRAN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f>
        <v>1</v>
      </c>
      <c r="G187" s="105" t="str">
        <f>IF(K187&lt;&gt;"rumus",(IF(OR(AND(L187="sks&gt;10",L186="sks&lt;=10",IFERROR(SUMPRODUCT($I$185:I186,$J$185:J186)&lt;10,FALSE)),AND(L187="sks&gt;10",L186="")),(((10-SUMPRODUCT($I$185:I186,$J$185:J186))&amp;" x "&amp;1&amp;" x "&amp;IF('LAMPIRAN I DONE'!$F$21="Tenaga Pengajar",0.5,IF(OR('LAMPIRAN I DONE'!$F$21="Asisten Ahli",'LAMPIRAN I DONE'!$F$21="Lektor",'LAMPIRAN I DONE'!$F$21="Lektor Kepala",'LAMPIRAN I DONE'!$F$21="Guru Besar"),1,""))&amp;" = "&amp;((10-SUMPRODUCT($I$185:I186,$J$185:J186))*IF('LAMPIRAN I DONE'!$F$21="Tenaga Pengajar",0.5,IF(OR('LAMPIRAN I DONE'!$F$21="Asisten Ahli",'LAMPIRAN I DONE'!$F$21="Lektor",'LAMPIRAN I DONE'!$F$21="Lektor Kepala",'LAMPIRAN I DONE'!$F$21="Guru Besar"),1,""))))&amp;"
"&amp;(((I187*J187)-(10-SUMPRODUCT($I$185:I186,$J$185:J186)))&amp;" x "&amp;1&amp;" x "&amp;IF('LAMPIRAN I DONE'!$F$21="Tenaga Pengajar",0.25,IF(OR('LAMPIRAN I DONE'!$F$21="Asisten Ahli",'LAMPIRAN I DONE'!$F$21="Lektor",'LAMPIRAN I DONE'!$F$21="Lektor Kepala",'LAMPIRAN I DONE'!$F$21="Guru Besar"),0.5,""))&amp;" = "&amp;(((I187*J187)-(10-SUMPRODUCT($I$185:I186,$J$185:J186)))*IF('LAMPIRAN I DONE'!$F$21="Tenaga Pengajar",0.25,IF(OR('LAMPIRAN I DONE'!$F$21="Asisten Ahli",'LAMPIRAN I DONE'!$F$21="Lektor",'LAMPIRAN I DONE'!$F$21="Lektor Kepala",'LAMPIRAN I DONE'!$F$21="Guru Besar"),0.5,""))))),(I187&amp;" x "&amp;J187&amp;" x "&amp;(IF(OR(AND(L187="sks&gt;10",L186="sks&gt;10"),AND(L187="sks&gt;10",L186="sks&lt;=10")),IF('LAMPIRAN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Besar"),1,""))))&amp;" = "&amp;K187))),"rumus")</f>
        <v>4 x 1 x 1 = 4</v>
      </c>
      <c r="H187" s="820" t="s">
        <v>885</v>
      </c>
      <c r="I187" s="824">
        <v>4</v>
      </c>
      <c r="J187" s="824">
        <v>1</v>
      </c>
      <c r="K187" s="27">
        <f>IF(AND(I187&lt;&gt;"",J187&lt;&gt;""),(IF(OR(AND(L187="sks&gt;10",L186="sks&lt;=10",IFERROR(SUMPRODUCT($I$185:I186,$J$185:J186)&lt;10,FALSE)),AND(L187="sks&gt;10",L186="")),(((10-SUMPRODUCT($I$185:I186,$J$185:J186))*IF('LAMPIRAN I DONE'!$F$21="Tenaga Pengajar",0.5,IF(OR('LAMPIRAN I DONE'!$F$21="Asisten Ahli",'LAMPIRAN I DONE'!$F$21="Lektor",'LAMPIRAN I DONE'!$F$21="Lektor Kepala",'LAMPIRAN I DONE'!$F$21="Guru Besar"),1,"")))+(((I187*J187)-(10-SUMPRODUCT($I$185:I186,$J$185:J186)))*IF('LAMPIRAN I DONE'!$F$21="Tenaga Pengajar",0.25,IF(OR('LAMPIRAN I DONE'!$F$21="Asisten Ahli",'LAMPIRAN I DONE'!$F$21="Lektor",'LAMPIRAN I DONE'!$F$21="Lektor Kepala",'LAMPIRAN I DONE'!$F$21="Guru Besar"),0.5,"")))),IF(OR(AND(L187="sks&gt;10",L186="sks&gt;10"),AND(L187="sks&gt;10",L186="sks&lt;=10")),I187*J187*IF('LAMPIRAN I DONE'!$F$21="Tenaga Pengajar",0.25,IF(OR('LAMPIRAN I DONE'!$F$21="Asisten Ahli",'LAMPIRAN I DONE'!$F$21="Lektor",'LAMPIRAN I DONE'!$F$21="Lektor Kepala",'LAMPIRAN I DONE'!$F$21="Guru Besar"),0.5,"")),I187*J187*IF('LAMPIRAN I DONE'!$F$21="Tenaga Pengajar",0.5,IF(OR('LAMPIRAN I DONE'!$F$21="Asisten Ahli",'LAMPIRAN I DONE'!$F$21="Lektor",'LAMPIRAN I DONE'!$F$21="Lektor Kepala",'LAMPIRAN I DONE'!$F$21="Guru Besar"),1,""))))),"rumus")</f>
        <v>4</v>
      </c>
      <c r="L187" s="27" t="str">
        <f>IF(AND(I187&lt;&gt;"",J187&lt;&gt;""),(IF(SUMPRODUCT($I$186:I187,$J$186:J187)&lt;=10,"SKS&lt;=10",IF(SUMPRODUCT($I$186:I187,$J$186:J187)&gt;10,"SKS&gt;10",""))),"rumus")</f>
        <v>SKS&lt;=10</v>
      </c>
    </row>
    <row r="188" spans="1:14" s="2" customFormat="1" ht="25.5" customHeight="1" x14ac:dyDescent="0.45">
      <c r="A188" s="67">
        <v>3</v>
      </c>
      <c r="B188" s="823" t="s">
        <v>873</v>
      </c>
      <c r="C188" s="822" t="s">
        <v>798</v>
      </c>
      <c r="D188" s="28" t="str">
        <f t="shared" si="28"/>
        <v>SKS</v>
      </c>
      <c r="E188" s="256" t="str">
        <f>IF(K188&lt;&gt;"rumus",(IF(OR(AND(L188="sks&gt;10",L187="sks&lt;=10",IFERROR(SUMPRODUCT($I$185:I187,$J$185:J187)&lt;10,FALSE)),AND(L188="sks&gt;10",L187="")),(((10-SUMPRODUCT($I$185:I187,$J$185:J187))&amp;" x "&amp;1)&amp;"
"&amp;(((I188*J188)-(10-SUMPRODUCT($I$185:I187,$J$185:J187)))&amp;" x "&amp;1)),(I188&amp;" x "&amp;J188))),"")</f>
        <v>2 x 1
2 x 1</v>
      </c>
      <c r="F188" s="256" t="str">
        <f>IF(K188&lt;&gt;"rumus",(IF(OR(AND(L188="sks&gt;10",L187="sks&lt;=10",IFERROR(SUMPRODUCT($I$185:I187,$J$185:J187)&lt;10,FALSE)),AND(L188="sks&gt;10",L187="")),((IF('LAMPIRAN I DONE'!$F$21="Tenaga Pengajar",0.5,IF(OR('LAMPIRAN I DONE'!$F$21="Asisten Ahli",'LAMPIRAN I DONE'!$F$21="Lektor",'LAMPIRAN I DONE'!$F$21="Lektor Kepala",'LAMPIRAN I DONE'!$F$21="Guru Besar"),1,"")))&amp;"
"&amp;(IF('LAMPIRAN I DONE'!$F$21="Tenaga Pengajar",0.25,IF(OR('LAMPIRAN I DONE'!$F$21="Asisten Ahli",'LAMPIRAN I DONE'!$F$21="Lektor",'LAMPIRAN I DONE'!$F$21="Lektor Kepala",'LAMPIRAN I DONE'!$F$21="Guru Besar"),0.5,"")))),((IF(OR(AND(L188="sks&gt;10",L187="sks&gt;10"),AND(L188="sks&gt;10",L187="sks&lt;=10")),IF('LAMPIRAN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f>
        <v>1
0,5</v>
      </c>
      <c r="G188" s="105" t="str">
        <f>IF(K188&lt;&gt;"rumus",(IF(OR(AND(L188="sks&gt;10",L187="sks&lt;=10",IFERROR(SUMPRODUCT($I$185:I187,$J$185:J187)&lt;10,FALSE)),AND(L188="sks&gt;10",L187="")),(((10-SUMPRODUCT($I$185:I187,$J$185:J187))&amp;" x "&amp;1&amp;" x "&amp;IF('LAMPIRAN I DONE'!$F$21="Tenaga Pengajar",0.5,IF(OR('LAMPIRAN I DONE'!$F$21="Asisten Ahli",'LAMPIRAN I DONE'!$F$21="Lektor",'LAMPIRAN I DONE'!$F$21="Lektor Kepala",'LAMPIRAN I DONE'!$F$21="Guru Besar"),1,""))&amp;" = "&amp;((10-SUMPRODUCT($I$185:I187,$J$185:J187))*IF('LAMPIRAN I DONE'!$F$21="Tenaga Pengajar",0.5,IF(OR('LAMPIRAN I DONE'!$F$21="Asisten Ahli",'LAMPIRAN I DONE'!$F$21="Lektor",'LAMPIRAN I DONE'!$F$21="Lektor Kepala",'LAMPIRAN I DONE'!$F$21="Guru Besar"),1,""))))&amp;"
"&amp;(((I188*J188)-(10-SUMPRODUCT($I$185:I187,$J$185:J187)))&amp;" x "&amp;1&amp;" x "&amp;IF('LAMPIRAN I DONE'!$F$21="Tenaga Pengajar",0.25,IF(OR('LAMPIRAN I DONE'!$F$21="Asisten Ahli",'LAMPIRAN I DONE'!$F$21="Lektor",'LAMPIRAN I DONE'!$F$21="Lektor Kepala",'LAMPIRAN I DONE'!$F$21="Guru Besar"),0.5,""))&amp;" = "&amp;(((I188*J188)-(10-SUMPRODUCT($I$185:I187,$J$185:J187)))*IF('LAMPIRAN I DONE'!$F$21="Tenaga Pengajar",0.25,IF(OR('LAMPIRAN I DONE'!$F$21="Asisten Ahli",'LAMPIRAN I DONE'!$F$21="Lektor",'LAMPIRAN I DONE'!$F$21="Lektor Kepala",'LAMPIRAN I DONE'!$F$21="Guru Besar"),0.5,""))))),(I188&amp;" x "&amp;J188&amp;" x "&amp;(IF(OR(AND(L188="sks&gt;10",L187="sks&gt;10"),AND(L188="sks&gt;10",L187="sks&lt;=10")),IF('LAMPIRAN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Besar"),1,""))))&amp;" = "&amp;K188))),"rumus")</f>
        <v>2 x 1 x 1 = 2
2 x 1 x 0,5 = 1</v>
      </c>
      <c r="H188" s="820" t="s">
        <v>885</v>
      </c>
      <c r="I188" s="824">
        <v>4</v>
      </c>
      <c r="J188" s="824">
        <v>1</v>
      </c>
      <c r="K188" s="27">
        <f>IF(AND(I188&lt;&gt;"",J188&lt;&gt;""),(IF(OR(AND(L188="sks&gt;10",L187="sks&lt;=10",IFERROR(SUMPRODUCT($I$185:I187,$J$185:J187)&lt;10,FALSE)),AND(L188="sks&gt;10",L187="")),(((10-SUMPRODUCT($I$185:I187,$J$185:J187))*IF('LAMPIRAN I DONE'!$F$21="Tenaga Pengajar",0.5,IF(OR('LAMPIRAN I DONE'!$F$21="Asisten Ahli",'LAMPIRAN I DONE'!$F$21="Lektor",'LAMPIRAN I DONE'!$F$21="Lektor Kepala",'LAMPIRAN I DONE'!$F$21="Guru Besar"),1,"")))+(((I188*J188)-(10-SUMPRODUCT($I$185:I187,$J$185:J187)))*IF('LAMPIRAN I DONE'!$F$21="Tenaga Pengajar",0.25,IF(OR('LAMPIRAN I DONE'!$F$21="Asisten Ahli",'LAMPIRAN I DONE'!$F$21="Lektor",'LAMPIRAN I DONE'!$F$21="Lektor Kepala",'LAMPIRAN I DONE'!$F$21="Guru Besar"),0.5,"")))),IF(OR(AND(L188="sks&gt;10",L187="sks&gt;10"),AND(L188="sks&gt;10",L187="sks&lt;=10")),I188*J188*IF('LAMPIRAN I DONE'!$F$21="Tenaga Pengajar",0.25,IF(OR('LAMPIRAN I DONE'!$F$21="Asisten Ahli",'LAMPIRAN I DONE'!$F$21="Lektor",'LAMPIRAN I DONE'!$F$21="Lektor Kepala",'LAMPIRAN I DONE'!$F$21="Guru Besar"),0.5,"")),I188*J188*IF('LAMPIRAN I DONE'!$F$21="Tenaga Pengajar",0.5,IF(OR('LAMPIRAN I DONE'!$F$21="Asisten Ahli",'LAMPIRAN I DONE'!$F$21="Lektor",'LAMPIRAN I DONE'!$F$21="Lektor Kepala",'LAMPIRAN I DONE'!$F$21="Guru Besar"),1,""))))),"rumus")</f>
        <v>3</v>
      </c>
      <c r="L188" s="27" t="str">
        <f>IF(AND(I188&lt;&gt;"",J188&lt;&gt;""),(IF(SUMPRODUCT($I$186:I188,$J$186:J188)&lt;=10,"SKS&lt;=10",IF(SUMPRODUCT($I$186:I188,$J$186:J188)&gt;10,"SKS&gt;10",""))),"rumus")</f>
        <v>SKS&gt;10</v>
      </c>
    </row>
    <row r="189" spans="1:14" s="2" customFormat="1" ht="25.5" hidden="1" customHeight="1" x14ac:dyDescent="0.45">
      <c r="A189" s="67">
        <v>4</v>
      </c>
      <c r="B189" s="163" t="s">
        <v>81</v>
      </c>
      <c r="C189" s="822" t="s">
        <v>798</v>
      </c>
      <c r="D189" s="28" t="str">
        <f t="shared" si="28"/>
        <v/>
      </c>
      <c r="E189" s="256" t="str">
        <f>IF(K189&lt;&gt;"rumus",(IF(OR(AND(L189="sks&gt;10",L188="sks&lt;=10",IFERROR(SUMPRODUCT($I$185:I188,$J$185:J188)&lt;10,FALSE)),AND(L189="sks&gt;10",L188="")),(((10-SUMPRODUCT($I$185:I188,$J$185:J188))&amp;" x "&amp;1)&amp;"
"&amp;(((I189*J189)-(10-SUMPRODUCT($I$185:I188,$J$185:J188)))&amp;" x "&amp;1)),(I189&amp;" x "&amp;J189))),"")</f>
        <v/>
      </c>
      <c r="F189" s="256" t="str">
        <f>IF(K189&lt;&gt;"rumus",(IF(OR(AND(L189="sks&gt;10",L188="sks&lt;=10",IFERROR(SUMPRODUCT($I$185:I188,$J$185:J188)&lt;10,FALSE)),AND(L189="sks&gt;10",L188="")),((IF('LAMPIRAN I DONE'!$F$21="Tenaga Pengajar",0.5,IF(OR('LAMPIRAN I DONE'!$F$21="Asisten Ahli",'LAMPIRAN I DONE'!$F$21="Lektor",'LAMPIRAN I DONE'!$F$21="Lektor Kepala",'LAMPIRAN I DONE'!$F$21="Guru Besar"),1,"")))&amp;"
"&amp;(IF('LAMPIRAN I DONE'!$F$21="Tenaga Pengajar",0.25,IF(OR('LAMPIRAN I DONE'!$F$21="Asisten Ahli",'LAMPIRAN I DONE'!$F$21="Lektor",'LAMPIRAN I DONE'!$F$21="Lektor Kepala",'LAMPIRAN I DONE'!$F$21="Guru Besar"),0.5,"")))),((IF(OR(AND(L189="sks&gt;10",L188="sks&gt;10"),AND(L189="sks&gt;10",L188="sks&lt;=10")),IF('LAMPIRAN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f>
        <v/>
      </c>
      <c r="G189" s="105" t="str">
        <f>IF(K189&lt;&gt;"rumus",(IF(OR(AND(L189="sks&gt;10",L188="sks&lt;=10",IFERROR(SUMPRODUCT($I$185:I188,$J$185:J188)&lt;10,FALSE)),AND(L189="sks&gt;10",L188="")),(((10-SUMPRODUCT($I$185:I188,$J$185:J188))&amp;" x "&amp;1&amp;" x "&amp;IF('LAMPIRAN I DONE'!$F$21="Tenaga Pengajar",0.5,IF(OR('LAMPIRAN I DONE'!$F$21="Asisten Ahli",'LAMPIRAN I DONE'!$F$21="Lektor",'LAMPIRAN I DONE'!$F$21="Lektor Kepala",'LAMPIRAN I DONE'!$F$21="Guru Besar"),1,""))&amp;" = "&amp;((10-SUMPRODUCT($I$185:I188,$J$185:J188))*IF('LAMPIRAN I DONE'!$F$21="Tenaga Pengajar",0.5,IF(OR('LAMPIRAN I DONE'!$F$21="Asisten Ahli",'LAMPIRAN I DONE'!$F$21="Lektor",'LAMPIRAN I DONE'!$F$21="Lektor Kepala",'LAMPIRAN I DONE'!$F$21="Guru Besar"),1,""))))&amp;"
"&amp;(((I189*J189)-(10-SUMPRODUCT($I$185:I188,$J$185:J188)))&amp;" x "&amp;1&amp;" x "&amp;IF('LAMPIRAN I DONE'!$F$21="Tenaga Pengajar",0.25,IF(OR('LAMPIRAN I DONE'!$F$21="Asisten Ahli",'LAMPIRAN I DONE'!$F$21="Lektor",'LAMPIRAN I DONE'!$F$21="Lektor Kepala",'LAMPIRAN I DONE'!$F$21="Guru Besar"),0.5,""))&amp;" = "&amp;(((I189*J189)-(10-SUMPRODUCT($I$185:I188,$J$185:J188)))*IF('LAMPIRAN I DONE'!$F$21="Tenaga Pengajar",0.25,IF(OR('LAMPIRAN I DONE'!$F$21="Asisten Ahli",'LAMPIRAN I DONE'!$F$21="Lektor",'LAMPIRAN I DONE'!$F$21="Lektor Kepala",'LAMPIRAN I DONE'!$F$21="Guru Besar"),0.5,""))))),(I189&amp;" x "&amp;J189&amp;" x "&amp;(IF(OR(AND(L189="sks&gt;10",L188="sks&gt;10"),AND(L189="sks&gt;10",L188="sks&lt;=10")),IF('LAMPIRAN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Besar"),1,""))))&amp;" = "&amp;K189))),"rumus")</f>
        <v>rumus</v>
      </c>
      <c r="H189" s="28" t="s">
        <v>620</v>
      </c>
      <c r="I189" s="34"/>
      <c r="J189" s="34"/>
      <c r="K189" s="27" t="str">
        <f>IF(AND(I189&lt;&gt;"",J189&lt;&gt;""),(IF(OR(AND(L189="sks&gt;10",L188="sks&lt;=10",IFERROR(SUMPRODUCT($I$185:I188,$J$185:J188)&lt;10,FALSE)),AND(L189="sks&gt;10",L188="")),(((10-SUMPRODUCT($I$185:I188,$J$185:J188))*IF('LAMPIRAN I DONE'!$F$21="Tenaga Pengajar",0.5,IF(OR('LAMPIRAN I DONE'!$F$21="Asisten Ahli",'LAMPIRAN I DONE'!$F$21="Lektor",'LAMPIRAN I DONE'!$F$21="Lektor Kepala",'LAMPIRAN I DONE'!$F$21="Guru Besar"),1,"")))+(((I189*J189)-(10-SUMPRODUCT($I$185:I188,$J$185:J188)))*IF('LAMPIRAN I DONE'!$F$21="Tenaga Pengajar",0.25,IF(OR('LAMPIRAN I DONE'!$F$21="Asisten Ahli",'LAMPIRAN I DONE'!$F$21="Lektor",'LAMPIRAN I DONE'!$F$21="Lektor Kepala",'LAMPIRAN I DONE'!$F$21="Guru Besar"),0.5,"")))),IF(OR(AND(L189="sks&gt;10",L188="sks&gt;10"),AND(L189="sks&gt;10",L188="sks&lt;=10")),I189*J189*IF('LAMPIRAN I DONE'!$F$21="Tenaga Pengajar",0.25,IF(OR('LAMPIRAN I DONE'!$F$21="Asisten Ahli",'LAMPIRAN I DONE'!$F$21="Lektor",'LAMPIRAN I DONE'!$F$21="Lektor Kepala",'LAMPIRAN I DONE'!$F$21="Guru Besar"),0.5,"")),I189*J189*IF('LAMPIRAN I DONE'!$F$21="Tenaga Pengajar",0.5,IF(OR('LAMPIRAN I DONE'!$F$21="Asisten Ahli",'LAMPIRAN I DONE'!$F$21="Lektor",'LAMPIRAN I DONE'!$F$21="Lektor Kepala",'LAMPIRAN I DONE'!$F$21="Guru Besar"),1,""))))),"rumus")</f>
        <v>rumus</v>
      </c>
      <c r="L189" s="27" t="str">
        <f>IF(AND(I189&lt;&gt;"",J189&lt;&gt;""),(IF(SUMPRODUCT($I$186:I189,$J$186:J189)&lt;=10,"SKS&lt;=10",IF(SUMPRODUCT($I$186:I189,$J$186:J189)&gt;10,"SKS&gt;10",""))),"rumus")</f>
        <v>rumus</v>
      </c>
    </row>
    <row r="190" spans="1:14" s="2" customFormat="1" ht="25.5" hidden="1" customHeight="1" x14ac:dyDescent="0.45">
      <c r="A190" s="67">
        <v>5</v>
      </c>
      <c r="B190" s="163" t="s">
        <v>81</v>
      </c>
      <c r="C190" s="822" t="s">
        <v>798</v>
      </c>
      <c r="D190" s="28" t="str">
        <f t="shared" si="28"/>
        <v/>
      </c>
      <c r="E190" s="256" t="str">
        <f>IF(K190&lt;&gt;"rumus",(IF(OR(AND(L190="sks&gt;10",L189="sks&lt;=10",IFERROR(SUMPRODUCT($I$185:I189,$J$185:J189)&lt;10,FALSE)),AND(L190="sks&gt;10",L189="")),(((10-SUMPRODUCT($I$185:I189,$J$185:J189))&amp;" x "&amp;1)&amp;"
"&amp;(((I190*J190)-(10-SUMPRODUCT($I$185:I189,$J$185:J189)))&amp;" x "&amp;1)),(I190&amp;" x "&amp;J190))),"")</f>
        <v/>
      </c>
      <c r="F190" s="256" t="str">
        <f>IF(K190&lt;&gt;"rumus",(IF(OR(AND(L190="sks&gt;10",L189="sks&lt;=10",IFERROR(SUMPRODUCT($I$185:I189,$J$185:J189)&lt;10,FALSE)),AND(L190="sks&gt;10",L189="")),((IF('LAMPIRAN I DONE'!$F$21="Tenaga Pengajar",0.5,IF(OR('LAMPIRAN I DONE'!$F$21="Asisten Ahli",'LAMPIRAN I DONE'!$F$21="Lektor",'LAMPIRAN I DONE'!$F$21="Lektor Kepala",'LAMPIRAN I DONE'!$F$21="Guru Besar"),1,"")))&amp;"
"&amp;(IF('LAMPIRAN I DONE'!$F$21="Tenaga Pengajar",0.25,IF(OR('LAMPIRAN I DONE'!$F$21="Asisten Ahli",'LAMPIRAN I DONE'!$F$21="Lektor",'LAMPIRAN I DONE'!$F$21="Lektor Kepala",'LAMPIRAN I DONE'!$F$21="Guru Besar"),0.5,"")))),((IF(OR(AND(L190="sks&gt;10",L189="sks&gt;10"),AND(L190="sks&gt;10",L189="sks&lt;=10")),IF('LAMPIRAN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f>
        <v/>
      </c>
      <c r="G190" s="105" t="str">
        <f>IF(K190&lt;&gt;"rumus",(IF(OR(AND(L190="sks&gt;10",L189="sks&lt;=10",IFERROR(SUMPRODUCT($I$185:I189,$J$185:J189)&lt;10,FALSE)),AND(L190="sks&gt;10",L189="")),(((10-SUMPRODUCT($I$185:I189,$J$185:J189))&amp;" x "&amp;1&amp;" x "&amp;IF('LAMPIRAN I DONE'!$F$21="Tenaga Pengajar",0.5,IF(OR('LAMPIRAN I DONE'!$F$21="Asisten Ahli",'LAMPIRAN I DONE'!$F$21="Lektor",'LAMPIRAN I DONE'!$F$21="Lektor Kepala",'LAMPIRAN I DONE'!$F$21="Guru Besar"),1,""))&amp;" = "&amp;((10-SUMPRODUCT($I$185:I189,$J$185:J189))*IF('LAMPIRAN I DONE'!$F$21="Tenaga Pengajar",0.5,IF(OR('LAMPIRAN I DONE'!$F$21="Asisten Ahli",'LAMPIRAN I DONE'!$F$21="Lektor",'LAMPIRAN I DONE'!$F$21="Lektor Kepala",'LAMPIRAN I DONE'!$F$21="Guru Besar"),1,""))))&amp;"
"&amp;(((I190*J190)-(10-SUMPRODUCT($I$185:I189,$J$185:J189)))&amp;" x "&amp;1&amp;" x "&amp;IF('LAMPIRAN I DONE'!$F$21="Tenaga Pengajar",0.25,IF(OR('LAMPIRAN I DONE'!$F$21="Asisten Ahli",'LAMPIRAN I DONE'!$F$21="Lektor",'LAMPIRAN I DONE'!$F$21="Lektor Kepala",'LAMPIRAN I DONE'!$F$21="Guru Besar"),0.5,""))&amp;" = "&amp;(((I190*J190)-(10-SUMPRODUCT($I$185:I189,$J$185:J189)))*IF('LAMPIRAN I DONE'!$F$21="Tenaga Pengajar",0.25,IF(OR('LAMPIRAN I DONE'!$F$21="Asisten Ahli",'LAMPIRAN I DONE'!$F$21="Lektor",'LAMPIRAN I DONE'!$F$21="Lektor Kepala",'LAMPIRAN I DONE'!$F$21="Guru Besar"),0.5,""))))),(I190&amp;" x "&amp;J190&amp;" x "&amp;(IF(OR(AND(L190="sks&gt;10",L189="sks&gt;10"),AND(L190="sks&gt;10",L189="sks&lt;=10")),IF('LAMPIRAN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Besar"),1,""))))&amp;" = "&amp;K190))),"rumus")</f>
        <v>rumus</v>
      </c>
      <c r="H190" s="28" t="s">
        <v>620</v>
      </c>
      <c r="I190" s="34"/>
      <c r="J190" s="34"/>
      <c r="K190" s="27" t="str">
        <f>IF(AND(I190&lt;&gt;"",J190&lt;&gt;""),(IF(OR(AND(L190="sks&gt;10",L189="sks&lt;=10",IFERROR(SUMPRODUCT($I$185:I189,$J$185:J189)&lt;10,FALSE)),AND(L190="sks&gt;10",L189="")),(((10-SUMPRODUCT($I$185:I189,$J$185:J189))*IF('LAMPIRAN I DONE'!$F$21="Tenaga Pengajar",0.5,IF(OR('LAMPIRAN I DONE'!$F$21="Asisten Ahli",'LAMPIRAN I DONE'!$F$21="Lektor",'LAMPIRAN I DONE'!$F$21="Lektor Kepala",'LAMPIRAN I DONE'!$F$21="Guru Besar"),1,"")))+(((I190*J190)-(10-SUMPRODUCT($I$185:I189,$J$185:J189)))*IF('LAMPIRAN I DONE'!$F$21="Tenaga Pengajar",0.25,IF(OR('LAMPIRAN I DONE'!$F$21="Asisten Ahli",'LAMPIRAN I DONE'!$F$21="Lektor",'LAMPIRAN I DONE'!$F$21="Lektor Kepala",'LAMPIRAN I DONE'!$F$21="Guru Besar"),0.5,"")))),IF(OR(AND(L190="sks&gt;10",L189="sks&gt;10"),AND(L190="sks&gt;10",L189="sks&lt;=10")),I190*J190*IF('LAMPIRAN I DONE'!$F$21="Tenaga Pengajar",0.25,IF(OR('LAMPIRAN I DONE'!$F$21="Asisten Ahli",'LAMPIRAN I DONE'!$F$21="Lektor",'LAMPIRAN I DONE'!$F$21="Lektor Kepala",'LAMPIRAN I DONE'!$F$21="Guru Besar"),0.5,"")),I190*J190*IF('LAMPIRAN I DONE'!$F$21="Tenaga Pengajar",0.5,IF(OR('LAMPIRAN I DONE'!$F$21="Asisten Ahli",'LAMPIRAN I DONE'!$F$21="Lektor",'LAMPIRAN I DONE'!$F$21="Lektor Kepala",'LAMPIRAN I DONE'!$F$21="Guru Besar"),1,""))))),"rumus")</f>
        <v>rumus</v>
      </c>
      <c r="L190" s="27" t="str">
        <f>IF(AND(I190&lt;&gt;"",J190&lt;&gt;""),(IF(SUMPRODUCT($I$186:I190,$J$186:J190)&lt;=10,"SKS&lt;=10",IF(SUMPRODUCT($I$186:I190,$J$186:J190)&gt;10,"SKS&gt;10",""))),"rumus")</f>
        <v>rumus</v>
      </c>
    </row>
    <row r="191" spans="1:14" s="2" customFormat="1" ht="25.5" hidden="1" customHeight="1" x14ac:dyDescent="0.45">
      <c r="A191" s="67">
        <v>6</v>
      </c>
      <c r="B191" s="163" t="s">
        <v>81</v>
      </c>
      <c r="C191" s="822" t="s">
        <v>798</v>
      </c>
      <c r="D191" s="28" t="str">
        <f t="shared" si="28"/>
        <v/>
      </c>
      <c r="E191" s="256" t="str">
        <f>IF(K191&lt;&gt;"rumus",(IF(OR(AND(L191="sks&gt;10",L190="sks&lt;=10",IFERROR(SUMPRODUCT($I$185:I190,$J$185:J190)&lt;10,FALSE)),AND(L191="sks&gt;10",L190="")),(((10-SUMPRODUCT($I$185:I190,$J$185:J190))&amp;" x "&amp;1)&amp;"
"&amp;(((I191*J191)-(10-SUMPRODUCT($I$185:I190,$J$185:J190)))&amp;" x "&amp;1)),(I191&amp;" x "&amp;J191))),"")</f>
        <v/>
      </c>
      <c r="F191" s="256" t="str">
        <f>IF(K191&lt;&gt;"rumus",(IF(OR(AND(L191="sks&gt;10",L190="sks&lt;=10",IFERROR(SUMPRODUCT($I$185:I190,$J$185:J190)&lt;10,FALSE)),AND(L191="sks&gt;10",L190="")),((IF('LAMPIRAN I DONE'!$F$21="Tenaga Pengajar",0.5,IF(OR('LAMPIRAN I DONE'!$F$21="Asisten Ahli",'LAMPIRAN I DONE'!$F$21="Lektor",'LAMPIRAN I DONE'!$F$21="Lektor Kepala",'LAMPIRAN I DONE'!$F$21="Guru Besar"),1,"")))&amp;"
"&amp;(IF('LAMPIRAN I DONE'!$F$21="Tenaga Pengajar",0.25,IF(OR('LAMPIRAN I DONE'!$F$21="Asisten Ahli",'LAMPIRAN I DONE'!$F$21="Lektor",'LAMPIRAN I DONE'!$F$21="Lektor Kepala",'LAMPIRAN I DONE'!$F$21="Guru Besar"),0.5,"")))),((IF(OR(AND(L191="sks&gt;10",L190="sks&gt;10"),AND(L191="sks&gt;10",L190="sks&lt;=10")),IF('LAMPIRAN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f>
        <v/>
      </c>
      <c r="G191" s="105" t="str">
        <f>IF(K191&lt;&gt;"rumus",(IF(OR(AND(L191="sks&gt;10",L190="sks&lt;=10",IFERROR(SUMPRODUCT($I$185:I190,$J$185:J190)&lt;10,FALSE)),AND(L191="sks&gt;10",L190="")),(((10-SUMPRODUCT($I$185:I190,$J$185:J190))&amp;" x "&amp;1&amp;" x "&amp;IF('LAMPIRAN I DONE'!$F$21="Tenaga Pengajar",0.5,IF(OR('LAMPIRAN I DONE'!$F$21="Asisten Ahli",'LAMPIRAN I DONE'!$F$21="Lektor",'LAMPIRAN I DONE'!$F$21="Lektor Kepala",'LAMPIRAN I DONE'!$F$21="Guru Besar"),1,""))&amp;" = "&amp;((10-SUMPRODUCT($I$185:I190,$J$185:J190))*IF('LAMPIRAN I DONE'!$F$21="Tenaga Pengajar",0.5,IF(OR('LAMPIRAN I DONE'!$F$21="Asisten Ahli",'LAMPIRAN I DONE'!$F$21="Lektor",'LAMPIRAN I DONE'!$F$21="Lektor Kepala",'LAMPIRAN I DONE'!$F$21="Guru Besar"),1,""))))&amp;"
"&amp;(((I191*J191)-(10-SUMPRODUCT($I$185:I190,$J$185:J190)))&amp;" x "&amp;1&amp;" x "&amp;IF('LAMPIRAN I DONE'!$F$21="Tenaga Pengajar",0.25,IF(OR('LAMPIRAN I DONE'!$F$21="Asisten Ahli",'LAMPIRAN I DONE'!$F$21="Lektor",'LAMPIRAN I DONE'!$F$21="Lektor Kepala",'LAMPIRAN I DONE'!$F$21="Guru Besar"),0.5,""))&amp;" = "&amp;(((I191*J191)-(10-SUMPRODUCT($I$185:I190,$J$185:J190)))*IF('LAMPIRAN I DONE'!$F$21="Tenaga Pengajar",0.25,IF(OR('LAMPIRAN I DONE'!$F$21="Asisten Ahli",'LAMPIRAN I DONE'!$F$21="Lektor",'LAMPIRAN I DONE'!$F$21="Lektor Kepala",'LAMPIRAN I DONE'!$F$21="Guru Besar"),0.5,""))))),(I191&amp;" x "&amp;J191&amp;" x "&amp;(IF(OR(AND(L191="sks&gt;10",L190="sks&gt;10"),AND(L191="sks&gt;10",L190="sks&lt;=10")),IF('LAMPIRAN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Besar"),1,""))))&amp;" = "&amp;K191))),"rumus")</f>
        <v>rumus</v>
      </c>
      <c r="H191" s="28" t="s">
        <v>620</v>
      </c>
      <c r="I191" s="34"/>
      <c r="J191" s="34"/>
      <c r="K191" s="27" t="str">
        <f>IF(AND(I191&lt;&gt;"",J191&lt;&gt;""),(IF(OR(AND(L191="sks&gt;10",L190="sks&lt;=10",IFERROR(SUMPRODUCT($I$185:I190,$J$185:J190)&lt;10,FALSE)),AND(L191="sks&gt;10",L190="")),(((10-SUMPRODUCT($I$185:I190,$J$185:J190))*IF('LAMPIRAN I DONE'!$F$21="Tenaga Pengajar",0.5,IF(OR('LAMPIRAN I DONE'!$F$21="Asisten Ahli",'LAMPIRAN I DONE'!$F$21="Lektor",'LAMPIRAN I DONE'!$F$21="Lektor Kepala",'LAMPIRAN I DONE'!$F$21="Guru Besar"),1,"")))+(((I191*J191)-(10-SUMPRODUCT($I$185:I190,$J$185:J190)))*IF('LAMPIRAN I DONE'!$F$21="Tenaga Pengajar",0.25,IF(OR('LAMPIRAN I DONE'!$F$21="Asisten Ahli",'LAMPIRAN I DONE'!$F$21="Lektor",'LAMPIRAN I DONE'!$F$21="Lektor Kepala",'LAMPIRAN I DONE'!$F$21="Guru Besar"),0.5,"")))),IF(OR(AND(L191="sks&gt;10",L190="sks&gt;10"),AND(L191="sks&gt;10",L190="sks&lt;=10")),I191*J191*IF('LAMPIRAN I DONE'!$F$21="Tenaga Pengajar",0.25,IF(OR('LAMPIRAN I DONE'!$F$21="Asisten Ahli",'LAMPIRAN I DONE'!$F$21="Lektor",'LAMPIRAN I DONE'!$F$21="Lektor Kepala",'LAMPIRAN I DONE'!$F$21="Guru Besar"),0.5,"")),I191*J191*IF('LAMPIRAN I DONE'!$F$21="Tenaga Pengajar",0.5,IF(OR('LAMPIRAN I DONE'!$F$21="Asisten Ahli",'LAMPIRAN I DONE'!$F$21="Lektor",'LAMPIRAN I DONE'!$F$21="Lektor Kepala",'LAMPIRAN I DONE'!$F$21="Guru Besar"),1,""))))),"rumus")</f>
        <v>rumus</v>
      </c>
      <c r="L191" s="27" t="str">
        <f>IF(AND(I191&lt;&gt;"",J191&lt;&gt;""),(IF(SUMPRODUCT($I$186:I191,$J$186:J191)&lt;=10,"SKS&lt;=10",IF(SUMPRODUCT($I$186:I191,$J$186:J191)&gt;10,"SKS&gt;10",""))),"rumus")</f>
        <v>rumus</v>
      </c>
    </row>
    <row r="192" spans="1:14" s="2" customFormat="1" ht="15" hidden="1" customHeight="1" x14ac:dyDescent="0.45">
      <c r="A192" s="67"/>
      <c r="B192" s="168" t="str">
        <f>"b. Semester Genap "&amp;IF(C193&lt;&gt;"",C193,"")&amp;" :"</f>
        <v>b. Semester Genap 2018/2019 :</v>
      </c>
      <c r="C192" s="30"/>
      <c r="D192" s="111"/>
      <c r="E192" s="111"/>
      <c r="F192" s="111"/>
      <c r="G192" s="111"/>
      <c r="H192" s="112"/>
      <c r="I192" s="496"/>
      <c r="J192" s="496"/>
      <c r="M192" s="104">
        <f>IF((AND(N192="Max 5,5",SUM(K186:K191)&lt;=5.5)),SUM(K186:K191),IF((AND(N192="Max 5,5",SUM(K186:K191)&gt;5.5)),5.5,IF((AND(N192="Max 11",SUM(K186:K191)&lt;=11)),SUM(K186:K191),IF((AND(N192="Max 11",SUM(K186:K191)&gt;11)),11,""))))</f>
        <v>11</v>
      </c>
      <c r="N192" s="33" t="str">
        <f>IF('LAMPIRAN I DONE'!$F$21="Tenaga Pengajar","Max 5,5",IF(OR('LAMPIRAN I DONE'!$F$21="Asisten Ahli",'LAMPIRAN I DONE'!$F$21="Lektor",'LAMPIRAN I DONE'!$F$21="Lektor Kepala",'LAMPIRAN I DONE'!$F$21="Guru Besar"),"Max 11",""))</f>
        <v>Max 11</v>
      </c>
    </row>
    <row r="193" spans="1:14" s="2" customFormat="1" ht="25.5" hidden="1" customHeight="1" x14ac:dyDescent="0.45">
      <c r="A193" s="67">
        <v>1</v>
      </c>
      <c r="B193" s="184" t="s">
        <v>81</v>
      </c>
      <c r="C193" s="28" t="s">
        <v>796</v>
      </c>
      <c r="D193" s="28" t="str">
        <f>IF(G193&lt;&gt;"rumus","SKS","")</f>
        <v/>
      </c>
      <c r="E193" s="256" t="str">
        <f>IF(K193&lt;&gt;"rumus",(IF(OR(AND(L193="sks&gt;10",L192="sks&lt;=10",IFERROR(SUMPRODUCT($I$192:I192,$J$192:J192)&lt;10,FALSE)),AND(L193="sks&gt;10",L192="")),(((10-SUMPRODUCT($I$192:I192,$J$192:J192))&amp;" x "&amp;1)&amp;"
"&amp;(((I193*J193)-(10-SUMPRODUCT($I$192:I192,$J$192:J192)))&amp;" x "&amp;1)),(I193&amp;" x "&amp;J193))),"")</f>
        <v/>
      </c>
      <c r="F193" s="256" t="str">
        <f>IF(K193&lt;&gt;"rumus",(IF(OR(AND(L193="sks&gt;10",L192="sks&lt;=10",IFERROR(SUMPRODUCT($I$192:I192,$J$192:J192)&lt;10,FALSE)),AND(L193="sks&gt;10",L192="")),((IF('LAMPIRAN I DONE'!$F$21="Tenaga Pengajar",0.5,IF(OR('LAMPIRAN I DONE'!$F$21="Asisten Ahli",'LAMPIRAN I DONE'!$F$21="Lektor",'LAMPIRAN I DONE'!$F$21="Lektor Kepala",'LAMPIRAN I DONE'!$F$21="Guru Besar"),1,"")))&amp;"
"&amp;(IF('LAMPIRAN I DONE'!$F$21="Tenaga Pengajar",0.25,IF(OR('LAMPIRAN I DONE'!$F$21="Asisten Ahli",'LAMPIRAN I DONE'!$F$21="Lektor",'LAMPIRAN I DONE'!$F$21="Lektor Kepala",'LAMPIRAN I DONE'!$F$21="Guru Besar"),0.5,"")))),((IF(OR(AND(L193="sks&gt;10",L192="sks&gt;10"),AND(L193="sks&gt;10",L192="sks&lt;=10")),IF('LAMPIRAN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f>
        <v/>
      </c>
      <c r="G193" s="105" t="str">
        <f>IF(K193&lt;&gt;"rumus",(IF(OR(AND(L193="sks&gt;10",L192="sks&lt;=10",IFERROR(SUMPRODUCT($I$192:I192,$J$192:J192)&lt;10,FALSE)),AND(L193="sks&gt;10",L192="")),(((10-SUMPRODUCT($I$192:I192,$J$192:J192))&amp;" x "&amp;1&amp;" x "&amp;IF('LAMPIRAN I DONE'!$F$21="Tenaga Pengajar",0.5,IF(OR('LAMPIRAN I DONE'!$F$21="Asisten Ahli",'LAMPIRAN I DONE'!$F$21="Lektor",'LAMPIRAN I DONE'!$F$21="Lektor Kepala",'LAMPIRAN I DONE'!$F$21="Guru Besar"),1,""))&amp;" = "&amp;((10-SUMPRODUCT($I$192:I192,$J$192:J192))*IF('LAMPIRAN I DONE'!$F$21="Tenaga Pengajar",0.5,IF(OR('LAMPIRAN I DONE'!$F$21="Asisten Ahli",'LAMPIRAN I DONE'!$F$21="Lektor",'LAMPIRAN I DONE'!$F$21="Lektor Kepala",'LAMPIRAN I DONE'!$F$21="Guru Besar"),1,""))))&amp;"
"&amp;(((I193*J193)-(10-SUMPRODUCT($I$192:I192,$J$192:J192)))&amp;" x "&amp;1&amp;" x "&amp;IF('LAMPIRAN I DONE'!$F$21="Tenaga Pengajar",0.25,IF(OR('LAMPIRAN I DONE'!$F$21="Asisten Ahli",'LAMPIRAN I DONE'!$F$21="Lektor",'LAMPIRAN I DONE'!$F$21="Lektor Kepala",'LAMPIRAN I DONE'!$F$21="Guru Besar"),0.5,""))&amp;" = "&amp;(((I193*J193)-(10-SUMPRODUCT($I$192:I192,$J$192:J192)))*IF('LAMPIRAN I DONE'!$F$21="Tenaga Pengajar",0.25,IF(OR('LAMPIRAN I DONE'!$F$21="Asisten Ahli",'LAMPIRAN I DONE'!$F$21="Lektor",'LAMPIRAN I DONE'!$F$21="Lektor Kepala",'LAMPIRAN I DONE'!$F$21="Guru Besar"),0.5,""))))),(I193&amp;" x "&amp;J193&amp;" x "&amp;(IF(OR(AND(L193="sks&gt;10",L192="sks&gt;10"),AND(L193="sks&gt;10",L192="sks&lt;=10")),IF('LAMPIRAN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Besar"),1,""))))&amp;" = "&amp;K193))),"rumus")</f>
        <v>rumus</v>
      </c>
      <c r="H193" s="28" t="s">
        <v>620</v>
      </c>
      <c r="I193" s="34"/>
      <c r="J193" s="34"/>
      <c r="K193" s="27" t="str">
        <f>IF(AND(I193&lt;&gt;"",J193&lt;&gt;""),(IF(OR(AND(L193="sks&gt;10",L192="sks&lt;=10",IFERROR(SUMPRODUCT($I$192:I192,$J$192:J192)&lt;10,FALSE)),AND(L193="sks&gt;10",L192="")),(((10-SUMPRODUCT($I$192:I192,$J$192:J192))*IF('LAMPIRAN I DONE'!$F$21="Tenaga Pengajar",0.5,IF(OR('LAMPIRAN I DONE'!$F$21="Asisten Ahli",'LAMPIRAN I DONE'!$F$21="Lektor",'LAMPIRAN I DONE'!$F$21="Lektor Kepala",'LAMPIRAN I DONE'!$F$21="Guru Besar"),1,"")))+(((I193*J193)-(10-SUMPRODUCT($I$192:I192,$J$192:J192)))*IF('LAMPIRAN I DONE'!$F$21="Tenaga Pengajar",0.25,IF(OR('LAMPIRAN I DONE'!$F$21="Asisten Ahli",'LAMPIRAN I DONE'!$F$21="Lektor",'LAMPIRAN I DONE'!$F$21="Lektor Kepala",'LAMPIRAN I DONE'!$F$21="Guru Besar"),0.5,"")))),IF(OR(AND(L193="sks&gt;10",L192="sks&gt;10"),AND(L193="sks&gt;10",L192="sks&lt;=10")),I193*J193*IF('LAMPIRAN I DONE'!$F$21="Tenaga Pengajar",0.25,IF(OR('LAMPIRAN I DONE'!$F$21="Asisten Ahli",'LAMPIRAN I DONE'!$F$21="Lektor",'LAMPIRAN I DONE'!$F$21="Lektor Kepala",'LAMPIRAN I DONE'!$F$21="Guru Besar"),0.5,"")),I193*J193*IF('LAMPIRAN I DONE'!$F$21="Tenaga Pengajar",0.5,IF(OR('LAMPIRAN I DONE'!$F$21="Asisten Ahli",'LAMPIRAN I DONE'!$F$21="Lektor",'LAMPIRAN I DONE'!$F$21="Lektor Kepala",'LAMPIRAN I DONE'!$F$21="Guru Besar"),1,""))))),"rumus")</f>
        <v>rumus</v>
      </c>
      <c r="L193" s="27" t="str">
        <f>IF(AND(I193&lt;&gt;"",J193&lt;&gt;""),(IF(SUMPRODUCT($I$193:I193,$J$193:J193)&lt;=10,"SKS&lt;=10",IF(SUMPRODUCT($I$193:I193,$J$193:J193)&gt;10,"SKS&gt;10",""))),"rumus")</f>
        <v>rumus</v>
      </c>
    </row>
    <row r="194" spans="1:14" s="2" customFormat="1" ht="25.5" hidden="1" customHeight="1" x14ac:dyDescent="0.45">
      <c r="A194" s="67">
        <v>2</v>
      </c>
      <c r="B194" s="184" t="s">
        <v>81</v>
      </c>
      <c r="C194" s="28" t="s">
        <v>796</v>
      </c>
      <c r="D194" s="28" t="str">
        <f t="shared" ref="D194:D198" si="29">IF(G194&lt;&gt;"rumus","SKS","")</f>
        <v/>
      </c>
      <c r="E194" s="256" t="str">
        <f>IF(K194&lt;&gt;"rumus",(IF(OR(AND(L194="sks&gt;10",L193="sks&lt;=10",IFERROR(SUMPRODUCT($I$192:I193,$J$192:J193)&lt;10,FALSE)),AND(L194="sks&gt;10",L193="")),(((10-SUMPRODUCT($I$192:I193,$J$192:J193))&amp;" x "&amp;1)&amp;"
"&amp;(((I194*J194)-(10-SUMPRODUCT($I$192:I193,$J$192:J193)))&amp;" x "&amp;1)),(I194&amp;" x "&amp;J194))),"")</f>
        <v/>
      </c>
      <c r="F194" s="256" t="str">
        <f>IF(K194&lt;&gt;"rumus",(IF(OR(AND(L194="sks&gt;10",L193="sks&lt;=10",IFERROR(SUMPRODUCT($I$192:I193,$J$192:J193)&lt;10,FALSE)),AND(L194="sks&gt;10",L193="")),((IF('LAMPIRAN I DONE'!$F$21="Tenaga Pengajar",0.5,IF(OR('LAMPIRAN I DONE'!$F$21="Asisten Ahli",'LAMPIRAN I DONE'!$F$21="Lektor",'LAMPIRAN I DONE'!$F$21="Lektor Kepala",'LAMPIRAN I DONE'!$F$21="Guru Besar"),1,"")))&amp;"
"&amp;(IF('LAMPIRAN I DONE'!$F$21="Tenaga Pengajar",0.25,IF(OR('LAMPIRAN I DONE'!$F$21="Asisten Ahli",'LAMPIRAN I DONE'!$F$21="Lektor",'LAMPIRAN I DONE'!$F$21="Lektor Kepala",'LAMPIRAN I DONE'!$F$21="Guru Besar"),0.5,"")))),((IF(OR(AND(L194="sks&gt;10",L193="sks&gt;10"),AND(L194="sks&gt;10",L193="sks&lt;=10")),IF('LAMPIRAN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f>
        <v/>
      </c>
      <c r="G194" s="105" t="str">
        <f>IF(K194&lt;&gt;"rumus",(IF(OR(AND(L194="sks&gt;10",L193="sks&lt;=10",IFERROR(SUMPRODUCT($I$192:I193,$J$192:J193)&lt;10,FALSE)),AND(L194="sks&gt;10",L193="")),(((10-SUMPRODUCT($I$192:I193,$J$192:J193))&amp;" x "&amp;1&amp;" x "&amp;IF('LAMPIRAN I DONE'!$F$21="Tenaga Pengajar",0.5,IF(OR('LAMPIRAN I DONE'!$F$21="Asisten Ahli",'LAMPIRAN I DONE'!$F$21="Lektor",'LAMPIRAN I DONE'!$F$21="Lektor Kepala",'LAMPIRAN I DONE'!$F$21="Guru Besar"),1,""))&amp;" = "&amp;((10-SUMPRODUCT($I$192:I193,$J$192:J193))*IF('LAMPIRAN I DONE'!$F$21="Tenaga Pengajar",0.5,IF(OR('LAMPIRAN I DONE'!$F$21="Asisten Ahli",'LAMPIRAN I DONE'!$F$21="Lektor",'LAMPIRAN I DONE'!$F$21="Lektor Kepala",'LAMPIRAN I DONE'!$F$21="Guru Besar"),1,""))))&amp;"
"&amp;(((I194*J194)-(10-SUMPRODUCT($I$192:I193,$J$192:J193)))&amp;" x "&amp;1&amp;" x "&amp;IF('LAMPIRAN I DONE'!$F$21="Tenaga Pengajar",0.25,IF(OR('LAMPIRAN I DONE'!$F$21="Asisten Ahli",'LAMPIRAN I DONE'!$F$21="Lektor",'LAMPIRAN I DONE'!$F$21="Lektor Kepala",'LAMPIRAN I DONE'!$F$21="Guru Besar"),0.5,""))&amp;" = "&amp;(((I194*J194)-(10-SUMPRODUCT($I$192:I193,$J$192:J193)))*IF('LAMPIRAN I DONE'!$F$21="Tenaga Pengajar",0.25,IF(OR('LAMPIRAN I DONE'!$F$21="Asisten Ahli",'LAMPIRAN I DONE'!$F$21="Lektor",'LAMPIRAN I DONE'!$F$21="Lektor Kepala",'LAMPIRAN I DONE'!$F$21="Guru Besar"),0.5,""))))),(I194&amp;" x "&amp;J194&amp;" x "&amp;(IF(OR(AND(L194="sks&gt;10",L193="sks&gt;10"),AND(L194="sks&gt;10",L193="sks&lt;=10")),IF('LAMPIRAN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Besar"),1,""))))&amp;" = "&amp;K194))),"rumus")</f>
        <v>rumus</v>
      </c>
      <c r="H194" s="28" t="s">
        <v>620</v>
      </c>
      <c r="I194" s="34"/>
      <c r="J194" s="34"/>
      <c r="K194" s="27" t="str">
        <f>IF(AND(I194&lt;&gt;"",J194&lt;&gt;""),(IF(OR(AND(L194="sks&gt;10",L193="sks&lt;=10",IFERROR(SUMPRODUCT($I$192:I193,$J$192:J193)&lt;10,FALSE)),AND(L194="sks&gt;10",L193="")),(((10-SUMPRODUCT($I$192:I193,$J$192:J193))*IF('LAMPIRAN I DONE'!$F$21="Tenaga Pengajar",0.5,IF(OR('LAMPIRAN I DONE'!$F$21="Asisten Ahli",'LAMPIRAN I DONE'!$F$21="Lektor",'LAMPIRAN I DONE'!$F$21="Lektor Kepala",'LAMPIRAN I DONE'!$F$21="Guru Besar"),1,"")))+(((I194*J194)-(10-SUMPRODUCT($I$192:I193,$J$192:J193)))*IF('LAMPIRAN I DONE'!$F$21="Tenaga Pengajar",0.25,IF(OR('LAMPIRAN I DONE'!$F$21="Asisten Ahli",'LAMPIRAN I DONE'!$F$21="Lektor",'LAMPIRAN I DONE'!$F$21="Lektor Kepala",'LAMPIRAN I DONE'!$F$21="Guru Besar"),0.5,"")))),IF(OR(AND(L194="sks&gt;10",L193="sks&gt;10"),AND(L194="sks&gt;10",L193="sks&lt;=10")),I194*J194*IF('LAMPIRAN I DONE'!$F$21="Tenaga Pengajar",0.25,IF(OR('LAMPIRAN I DONE'!$F$21="Asisten Ahli",'LAMPIRAN I DONE'!$F$21="Lektor",'LAMPIRAN I DONE'!$F$21="Lektor Kepala",'LAMPIRAN I DONE'!$F$21="Guru Besar"),0.5,"")),I194*J194*IF('LAMPIRAN I DONE'!$F$21="Tenaga Pengajar",0.5,IF(OR('LAMPIRAN I DONE'!$F$21="Asisten Ahli",'LAMPIRAN I DONE'!$F$21="Lektor",'LAMPIRAN I DONE'!$F$21="Lektor Kepala",'LAMPIRAN I DONE'!$F$21="Guru Besar"),1,""))))),"rumus")</f>
        <v>rumus</v>
      </c>
      <c r="L194" s="27" t="str">
        <f>IF(AND(I194&lt;&gt;"",J194&lt;&gt;""),(IF(SUMPRODUCT($I$193:I194,$J$193:J194)&lt;=10,"SKS&lt;=10",IF(SUMPRODUCT($I$193:I194,$J$193:J194)&gt;10,"SKS&gt;10",""))),"rumus")</f>
        <v>rumus</v>
      </c>
    </row>
    <row r="195" spans="1:14" s="2" customFormat="1" ht="25.5" hidden="1" customHeight="1" x14ac:dyDescent="0.45">
      <c r="A195" s="67">
        <v>3</v>
      </c>
      <c r="B195" s="184" t="s">
        <v>81</v>
      </c>
      <c r="C195" s="28" t="s">
        <v>796</v>
      </c>
      <c r="D195" s="28" t="str">
        <f t="shared" si="29"/>
        <v/>
      </c>
      <c r="E195" s="256" t="str">
        <f>IF(K195&lt;&gt;"rumus",(IF(OR(AND(L195="sks&gt;10",L194="sks&lt;=10",IFERROR(SUMPRODUCT($I$192:I194,$J$192:J194)&lt;10,FALSE)),AND(L195="sks&gt;10",L194="")),(((10-SUMPRODUCT($I$192:I194,$J$192:J194))&amp;" x "&amp;1)&amp;"
"&amp;(((I195*J195)-(10-SUMPRODUCT($I$192:I194,$J$192:J194)))&amp;" x "&amp;1)),(I195&amp;" x "&amp;J195))),"")</f>
        <v/>
      </c>
      <c r="F195" s="256" t="str">
        <f>IF(K195&lt;&gt;"rumus",(IF(OR(AND(L195="sks&gt;10",L194="sks&lt;=10",IFERROR(SUMPRODUCT($I$192:I194,$J$192:J194)&lt;10,FALSE)),AND(L195="sks&gt;10",L194="")),((IF('LAMPIRAN I DONE'!$F$21="Tenaga Pengajar",0.5,IF(OR('LAMPIRAN I DONE'!$F$21="Asisten Ahli",'LAMPIRAN I DONE'!$F$21="Lektor",'LAMPIRAN I DONE'!$F$21="Lektor Kepala",'LAMPIRAN I DONE'!$F$21="Guru Besar"),1,"")))&amp;"
"&amp;(IF('LAMPIRAN I DONE'!$F$21="Tenaga Pengajar",0.25,IF(OR('LAMPIRAN I DONE'!$F$21="Asisten Ahli",'LAMPIRAN I DONE'!$F$21="Lektor",'LAMPIRAN I DONE'!$F$21="Lektor Kepala",'LAMPIRAN I DONE'!$F$21="Guru Besar"),0.5,"")))),((IF(OR(AND(L195="sks&gt;10",L194="sks&gt;10"),AND(L195="sks&gt;10",L194="sks&lt;=10")),IF('LAMPIRAN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f>
        <v/>
      </c>
      <c r="G195" s="105" t="str">
        <f>IF(K195&lt;&gt;"rumus",(IF(OR(AND(L195="sks&gt;10",L194="sks&lt;=10",IFERROR(SUMPRODUCT($I$192:I194,$J$192:J194)&lt;10,FALSE)),AND(L195="sks&gt;10",L194="")),(((10-SUMPRODUCT($I$192:I194,$J$192:J194))&amp;" x "&amp;1&amp;" x "&amp;IF('LAMPIRAN I DONE'!$F$21="Tenaga Pengajar",0.5,IF(OR('LAMPIRAN I DONE'!$F$21="Asisten Ahli",'LAMPIRAN I DONE'!$F$21="Lektor",'LAMPIRAN I DONE'!$F$21="Lektor Kepala",'LAMPIRAN I DONE'!$F$21="Guru Besar"),1,""))&amp;" = "&amp;((10-SUMPRODUCT($I$192:I194,$J$192:J194))*IF('LAMPIRAN I DONE'!$F$21="Tenaga Pengajar",0.5,IF(OR('LAMPIRAN I DONE'!$F$21="Asisten Ahli",'LAMPIRAN I DONE'!$F$21="Lektor",'LAMPIRAN I DONE'!$F$21="Lektor Kepala",'LAMPIRAN I DONE'!$F$21="Guru Besar"),1,""))))&amp;"
"&amp;(((I195*J195)-(10-SUMPRODUCT($I$192:I194,$J$192:J194)))&amp;" x "&amp;1&amp;" x "&amp;IF('LAMPIRAN I DONE'!$F$21="Tenaga Pengajar",0.25,IF(OR('LAMPIRAN I DONE'!$F$21="Asisten Ahli",'LAMPIRAN I DONE'!$F$21="Lektor",'LAMPIRAN I DONE'!$F$21="Lektor Kepala",'LAMPIRAN I DONE'!$F$21="Guru Besar"),0.5,""))&amp;" = "&amp;(((I195*J195)-(10-SUMPRODUCT($I$192:I194,$J$192:J194)))*IF('LAMPIRAN I DONE'!$F$21="Tenaga Pengajar",0.25,IF(OR('LAMPIRAN I DONE'!$F$21="Asisten Ahli",'LAMPIRAN I DONE'!$F$21="Lektor",'LAMPIRAN I DONE'!$F$21="Lektor Kepala",'LAMPIRAN I DONE'!$F$21="Guru Besar"),0.5,""))))),(I195&amp;" x "&amp;J195&amp;" x "&amp;(IF(OR(AND(L195="sks&gt;10",L194="sks&gt;10"),AND(L195="sks&gt;10",L194="sks&lt;=10")),IF('LAMPIRAN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Besar"),1,""))))&amp;" = "&amp;K195))),"rumus")</f>
        <v>rumus</v>
      </c>
      <c r="H195" s="28" t="s">
        <v>620</v>
      </c>
      <c r="I195" s="34"/>
      <c r="J195" s="34"/>
      <c r="K195" s="27" t="str">
        <f>IF(AND(I195&lt;&gt;"",J195&lt;&gt;""),(IF(OR(AND(L195="sks&gt;10",L194="sks&lt;=10",IFERROR(SUMPRODUCT($I$192:I194,$J$192:J194)&lt;10,FALSE)),AND(L195="sks&gt;10",L194="")),(((10-SUMPRODUCT($I$192:I194,$J$192:J194))*IF('LAMPIRAN I DONE'!$F$21="Tenaga Pengajar",0.5,IF(OR('LAMPIRAN I DONE'!$F$21="Asisten Ahli",'LAMPIRAN I DONE'!$F$21="Lektor",'LAMPIRAN I DONE'!$F$21="Lektor Kepala",'LAMPIRAN I DONE'!$F$21="Guru Besar"),1,"")))+(((I195*J195)-(10-SUMPRODUCT($I$192:I194,$J$192:J194)))*IF('LAMPIRAN I DONE'!$F$21="Tenaga Pengajar",0.25,IF(OR('LAMPIRAN I DONE'!$F$21="Asisten Ahli",'LAMPIRAN I DONE'!$F$21="Lektor",'LAMPIRAN I DONE'!$F$21="Lektor Kepala",'LAMPIRAN I DONE'!$F$21="Guru Besar"),0.5,"")))),IF(OR(AND(L195="sks&gt;10",L194="sks&gt;10"),AND(L195="sks&gt;10",L194="sks&lt;=10")),I195*J195*IF('LAMPIRAN I DONE'!$F$21="Tenaga Pengajar",0.25,IF(OR('LAMPIRAN I DONE'!$F$21="Asisten Ahli",'LAMPIRAN I DONE'!$F$21="Lektor",'LAMPIRAN I DONE'!$F$21="Lektor Kepala",'LAMPIRAN I DONE'!$F$21="Guru Besar"),0.5,"")),I195*J195*IF('LAMPIRAN I DONE'!$F$21="Tenaga Pengajar",0.5,IF(OR('LAMPIRAN I DONE'!$F$21="Asisten Ahli",'LAMPIRAN I DONE'!$F$21="Lektor",'LAMPIRAN I DONE'!$F$21="Lektor Kepala",'LAMPIRAN I DONE'!$F$21="Guru Besar"),1,""))))),"rumus")</f>
        <v>rumus</v>
      </c>
      <c r="L195" s="27" t="str">
        <f>IF(AND(I195&lt;&gt;"",J195&lt;&gt;""),(IF(SUMPRODUCT($I$193:I195,$J$193:J195)&lt;=10,"SKS&lt;=10",IF(SUMPRODUCT($I$193:I195,$J$193:J195)&gt;10,"SKS&gt;10",""))),"rumus")</f>
        <v>rumus</v>
      </c>
    </row>
    <row r="196" spans="1:14" s="2" customFormat="1" ht="25.5" hidden="1" customHeight="1" x14ac:dyDescent="0.45">
      <c r="A196" s="67">
        <v>4</v>
      </c>
      <c r="B196" s="184" t="s">
        <v>81</v>
      </c>
      <c r="C196" s="28" t="s">
        <v>796</v>
      </c>
      <c r="D196" s="28" t="str">
        <f t="shared" si="29"/>
        <v/>
      </c>
      <c r="E196" s="256" t="str">
        <f>IF(K196&lt;&gt;"rumus",(IF(OR(AND(L196="sks&gt;10",L195="sks&lt;=10",IFERROR(SUMPRODUCT($I$192:I195,$J$192:J195)&lt;10,FALSE)),AND(L196="sks&gt;10",L195="")),(((10-SUMPRODUCT($I$192:I195,$J$192:J195))&amp;" x "&amp;1)&amp;"
"&amp;(((I196*J196)-(10-SUMPRODUCT($I$192:I195,$J$192:J195)))&amp;" x "&amp;1)),(I196&amp;" x "&amp;J196))),"")</f>
        <v/>
      </c>
      <c r="F196" s="256" t="str">
        <f>IF(K196&lt;&gt;"rumus",(IF(OR(AND(L196="sks&gt;10",L195="sks&lt;=10",IFERROR(SUMPRODUCT($I$192:I195,$J$192:J195)&lt;10,FALSE)),AND(L196="sks&gt;10",L195="")),((IF('LAMPIRAN I DONE'!$F$21="Tenaga Pengajar",0.5,IF(OR('LAMPIRAN I DONE'!$F$21="Asisten Ahli",'LAMPIRAN I DONE'!$F$21="Lektor",'LAMPIRAN I DONE'!$F$21="Lektor Kepala",'LAMPIRAN I DONE'!$F$21="Guru Besar"),1,"")))&amp;"
"&amp;(IF('LAMPIRAN I DONE'!$F$21="Tenaga Pengajar",0.25,IF(OR('LAMPIRAN I DONE'!$F$21="Asisten Ahli",'LAMPIRAN I DONE'!$F$21="Lektor",'LAMPIRAN I DONE'!$F$21="Lektor Kepala",'LAMPIRAN I DONE'!$F$21="Guru Besar"),0.5,"")))),((IF(OR(AND(L196="sks&gt;10",L195="sks&gt;10"),AND(L196="sks&gt;10",L195="sks&lt;=10")),IF('LAMPIRAN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f>
        <v/>
      </c>
      <c r="G196" s="105" t="str">
        <f>IF(K196&lt;&gt;"rumus",(IF(OR(AND(L196="sks&gt;10",L195="sks&lt;=10",IFERROR(SUMPRODUCT($I$192:I195,$J$192:J195)&lt;10,FALSE)),AND(L196="sks&gt;10",L195="")),(((10-SUMPRODUCT($I$192:I195,$J$192:J195))&amp;" x "&amp;1&amp;" x "&amp;IF('LAMPIRAN I DONE'!$F$21="Tenaga Pengajar",0.5,IF(OR('LAMPIRAN I DONE'!$F$21="Asisten Ahli",'LAMPIRAN I DONE'!$F$21="Lektor",'LAMPIRAN I DONE'!$F$21="Lektor Kepala",'LAMPIRAN I DONE'!$F$21="Guru Besar"),1,""))&amp;" = "&amp;((10-SUMPRODUCT($I$192:I195,$J$192:J195))*IF('LAMPIRAN I DONE'!$F$21="Tenaga Pengajar",0.5,IF(OR('LAMPIRAN I DONE'!$F$21="Asisten Ahli",'LAMPIRAN I DONE'!$F$21="Lektor",'LAMPIRAN I DONE'!$F$21="Lektor Kepala",'LAMPIRAN I DONE'!$F$21="Guru Besar"),1,""))))&amp;"
"&amp;(((I196*J196)-(10-SUMPRODUCT($I$192:I195,$J$192:J195)))&amp;" x "&amp;1&amp;" x "&amp;IF('LAMPIRAN I DONE'!$F$21="Tenaga Pengajar",0.25,IF(OR('LAMPIRAN I DONE'!$F$21="Asisten Ahli",'LAMPIRAN I DONE'!$F$21="Lektor",'LAMPIRAN I DONE'!$F$21="Lektor Kepala",'LAMPIRAN I DONE'!$F$21="Guru Besar"),0.5,""))&amp;" = "&amp;(((I196*J196)-(10-SUMPRODUCT($I$192:I195,$J$192:J195)))*IF('LAMPIRAN I DONE'!$F$21="Tenaga Pengajar",0.25,IF(OR('LAMPIRAN I DONE'!$F$21="Asisten Ahli",'LAMPIRAN I DONE'!$F$21="Lektor",'LAMPIRAN I DONE'!$F$21="Lektor Kepala",'LAMPIRAN I DONE'!$F$21="Guru Besar"),0.5,""))))),(I196&amp;" x "&amp;J196&amp;" x "&amp;(IF(OR(AND(L196="sks&gt;10",L195="sks&gt;10"),AND(L196="sks&gt;10",L195="sks&lt;=10")),IF('LAMPIRAN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Besar"),1,""))))&amp;" = "&amp;K196))),"rumus")</f>
        <v>rumus</v>
      </c>
      <c r="H196" s="28" t="s">
        <v>620</v>
      </c>
      <c r="I196" s="34"/>
      <c r="J196" s="34"/>
      <c r="K196" s="27" t="str">
        <f>IF(AND(I196&lt;&gt;"",J196&lt;&gt;""),(IF(OR(AND(L196="sks&gt;10",L195="sks&lt;=10",IFERROR(SUMPRODUCT($I$192:I195,$J$192:J195)&lt;10,FALSE)),AND(L196="sks&gt;10",L195="")),(((10-SUMPRODUCT($I$192:I195,$J$192:J195))*IF('LAMPIRAN I DONE'!$F$21="Tenaga Pengajar",0.5,IF(OR('LAMPIRAN I DONE'!$F$21="Asisten Ahli",'LAMPIRAN I DONE'!$F$21="Lektor",'LAMPIRAN I DONE'!$F$21="Lektor Kepala",'LAMPIRAN I DONE'!$F$21="Guru Besar"),1,"")))+(((I196*J196)-(10-SUMPRODUCT($I$192:I195,$J$192:J195)))*IF('LAMPIRAN I DONE'!$F$21="Tenaga Pengajar",0.25,IF(OR('LAMPIRAN I DONE'!$F$21="Asisten Ahli",'LAMPIRAN I DONE'!$F$21="Lektor",'LAMPIRAN I DONE'!$F$21="Lektor Kepala",'LAMPIRAN I DONE'!$F$21="Guru Besar"),0.5,"")))),IF(OR(AND(L196="sks&gt;10",L195="sks&gt;10"),AND(L196="sks&gt;10",L195="sks&lt;=10")),I196*J196*IF('LAMPIRAN I DONE'!$F$21="Tenaga Pengajar",0.25,IF(OR('LAMPIRAN I DONE'!$F$21="Asisten Ahli",'LAMPIRAN I DONE'!$F$21="Lektor",'LAMPIRAN I DONE'!$F$21="Lektor Kepala",'LAMPIRAN I DONE'!$F$21="Guru Besar"),0.5,"")),I196*J196*IF('LAMPIRAN I DONE'!$F$21="Tenaga Pengajar",0.5,IF(OR('LAMPIRAN I DONE'!$F$21="Asisten Ahli",'LAMPIRAN I DONE'!$F$21="Lektor",'LAMPIRAN I DONE'!$F$21="Lektor Kepala",'LAMPIRAN I DONE'!$F$21="Guru Besar"),1,""))))),"rumus")</f>
        <v>rumus</v>
      </c>
      <c r="L196" s="27" t="str">
        <f>IF(AND(I196&lt;&gt;"",J196&lt;&gt;""),(IF(SUMPRODUCT($I$193:I196,$J$193:J196)&lt;=10,"SKS&lt;=10",IF(SUMPRODUCT($I$193:I196,$J$193:J196)&gt;10,"SKS&gt;10",""))),"rumus")</f>
        <v>rumus</v>
      </c>
    </row>
    <row r="197" spans="1:14" s="2" customFormat="1" ht="25.5" hidden="1" customHeight="1" x14ac:dyDescent="0.45">
      <c r="A197" s="67">
        <v>5</v>
      </c>
      <c r="B197" s="184" t="s">
        <v>81</v>
      </c>
      <c r="C197" s="28" t="s">
        <v>796</v>
      </c>
      <c r="D197" s="28" t="str">
        <f t="shared" si="29"/>
        <v/>
      </c>
      <c r="E197" s="256" t="str">
        <f>IF(K197&lt;&gt;"rumus",(IF(OR(AND(L197="sks&gt;10",L196="sks&lt;=10",IFERROR(SUMPRODUCT($I$192:I196,$J$192:J196)&lt;10,FALSE)),AND(L197="sks&gt;10",L196="")),(((10-SUMPRODUCT($I$192:I196,$J$192:J196))&amp;" x "&amp;1)&amp;"
"&amp;(((I197*J197)-(10-SUMPRODUCT($I$192:I196,$J$192:J196)))&amp;" x "&amp;1)),(I197&amp;" x "&amp;J197))),"")</f>
        <v/>
      </c>
      <c r="F197" s="256" t="str">
        <f>IF(K197&lt;&gt;"rumus",(IF(OR(AND(L197="sks&gt;10",L196="sks&lt;=10",IFERROR(SUMPRODUCT($I$192:I196,$J$192:J196)&lt;10,FALSE)),AND(L197="sks&gt;10",L196="")),((IF('LAMPIRAN I DONE'!$F$21="Tenaga Pengajar",0.5,IF(OR('LAMPIRAN I DONE'!$F$21="Asisten Ahli",'LAMPIRAN I DONE'!$F$21="Lektor",'LAMPIRAN I DONE'!$F$21="Lektor Kepala",'LAMPIRAN I DONE'!$F$21="Guru Besar"),1,"")))&amp;"
"&amp;(IF('LAMPIRAN I DONE'!$F$21="Tenaga Pengajar",0.25,IF(OR('LAMPIRAN I DONE'!$F$21="Asisten Ahli",'LAMPIRAN I DONE'!$F$21="Lektor",'LAMPIRAN I DONE'!$F$21="Lektor Kepala",'LAMPIRAN I DONE'!$F$21="Guru Besar"),0.5,"")))),((IF(OR(AND(L197="sks&gt;10",L196="sks&gt;10"),AND(L197="sks&gt;10",L196="sks&lt;=10")),IF('LAMPIRAN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f>
        <v/>
      </c>
      <c r="G197" s="105" t="str">
        <f>IF(K197&lt;&gt;"rumus",(IF(OR(AND(L197="sks&gt;10",L196="sks&lt;=10",IFERROR(SUMPRODUCT($I$192:I196,$J$192:J196)&lt;10,FALSE)),AND(L197="sks&gt;10",L196="")),(((10-SUMPRODUCT($I$192:I196,$J$192:J196))&amp;" x "&amp;1&amp;" x "&amp;IF('LAMPIRAN I DONE'!$F$21="Tenaga Pengajar",0.5,IF(OR('LAMPIRAN I DONE'!$F$21="Asisten Ahli",'LAMPIRAN I DONE'!$F$21="Lektor",'LAMPIRAN I DONE'!$F$21="Lektor Kepala",'LAMPIRAN I DONE'!$F$21="Guru Besar"),1,""))&amp;" = "&amp;((10-SUMPRODUCT($I$192:I196,$J$192:J196))*IF('LAMPIRAN I DONE'!$F$21="Tenaga Pengajar",0.5,IF(OR('LAMPIRAN I DONE'!$F$21="Asisten Ahli",'LAMPIRAN I DONE'!$F$21="Lektor",'LAMPIRAN I DONE'!$F$21="Lektor Kepala",'LAMPIRAN I DONE'!$F$21="Guru Besar"),1,""))))&amp;"
"&amp;(((I197*J197)-(10-SUMPRODUCT($I$192:I196,$J$192:J196)))&amp;" x "&amp;1&amp;" x "&amp;IF('LAMPIRAN I DONE'!$F$21="Tenaga Pengajar",0.25,IF(OR('LAMPIRAN I DONE'!$F$21="Asisten Ahli",'LAMPIRAN I DONE'!$F$21="Lektor",'LAMPIRAN I DONE'!$F$21="Lektor Kepala",'LAMPIRAN I DONE'!$F$21="Guru Besar"),0.5,""))&amp;" = "&amp;(((I197*J197)-(10-SUMPRODUCT($I$192:I196,$J$192:J196)))*IF('LAMPIRAN I DONE'!$F$21="Tenaga Pengajar",0.25,IF(OR('LAMPIRAN I DONE'!$F$21="Asisten Ahli",'LAMPIRAN I DONE'!$F$21="Lektor",'LAMPIRAN I DONE'!$F$21="Lektor Kepala",'LAMPIRAN I DONE'!$F$21="Guru Besar"),0.5,""))))),(I197&amp;" x "&amp;J197&amp;" x "&amp;(IF(OR(AND(L197="sks&gt;10",L196="sks&gt;10"),AND(L197="sks&gt;10",L196="sks&lt;=10")),IF('LAMPIRAN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Besar"),1,""))))&amp;" = "&amp;K197))),"rumus")</f>
        <v>rumus</v>
      </c>
      <c r="H197" s="28" t="s">
        <v>620</v>
      </c>
      <c r="I197" s="34"/>
      <c r="J197" s="34"/>
      <c r="K197" s="27" t="str">
        <f>IF(AND(I197&lt;&gt;"",J197&lt;&gt;""),(IF(OR(AND(L197="sks&gt;10",L196="sks&lt;=10",IFERROR(SUMPRODUCT($I$192:I196,$J$192:J196)&lt;10,FALSE)),AND(L197="sks&gt;10",L196="")),(((10-SUMPRODUCT($I$192:I196,$J$192:J196))*IF('LAMPIRAN I DONE'!$F$21="Tenaga Pengajar",0.5,IF(OR('LAMPIRAN I DONE'!$F$21="Asisten Ahli",'LAMPIRAN I DONE'!$F$21="Lektor",'LAMPIRAN I DONE'!$F$21="Lektor Kepala",'LAMPIRAN I DONE'!$F$21="Guru Besar"),1,"")))+(((I197*J197)-(10-SUMPRODUCT($I$192:I196,$J$192:J196)))*IF('LAMPIRAN I DONE'!$F$21="Tenaga Pengajar",0.25,IF(OR('LAMPIRAN I DONE'!$F$21="Asisten Ahli",'LAMPIRAN I DONE'!$F$21="Lektor",'LAMPIRAN I DONE'!$F$21="Lektor Kepala",'LAMPIRAN I DONE'!$F$21="Guru Besar"),0.5,"")))),IF(OR(AND(L197="sks&gt;10",L196="sks&gt;10"),AND(L197="sks&gt;10",L196="sks&lt;=10")),I197*J197*IF('LAMPIRAN I DONE'!$F$21="Tenaga Pengajar",0.25,IF(OR('LAMPIRAN I DONE'!$F$21="Asisten Ahli",'LAMPIRAN I DONE'!$F$21="Lektor",'LAMPIRAN I DONE'!$F$21="Lektor Kepala",'LAMPIRAN I DONE'!$F$21="Guru Besar"),0.5,"")),I197*J197*IF('LAMPIRAN I DONE'!$F$21="Tenaga Pengajar",0.5,IF(OR('LAMPIRAN I DONE'!$F$21="Asisten Ahli",'LAMPIRAN I DONE'!$F$21="Lektor",'LAMPIRAN I DONE'!$F$21="Lektor Kepala",'LAMPIRAN I DONE'!$F$21="Guru Besar"),1,""))))),"rumus")</f>
        <v>rumus</v>
      </c>
      <c r="L197" s="27" t="str">
        <f>IF(AND(I197&lt;&gt;"",J197&lt;&gt;""),(IF(SUMPRODUCT($I$193:I197,$J$193:J197)&lt;=10,"SKS&lt;=10",IF(SUMPRODUCT($I$193:I197,$J$193:J197)&gt;10,"SKS&gt;10",""))),"rumus")</f>
        <v>rumus</v>
      </c>
    </row>
    <row r="198" spans="1:14" s="2" customFormat="1" ht="25.5" hidden="1" customHeight="1" x14ac:dyDescent="0.45">
      <c r="A198" s="67">
        <v>6</v>
      </c>
      <c r="B198" s="184" t="s">
        <v>81</v>
      </c>
      <c r="C198" s="28" t="s">
        <v>796</v>
      </c>
      <c r="D198" s="28" t="str">
        <f t="shared" si="29"/>
        <v/>
      </c>
      <c r="E198" s="256" t="str">
        <f>IF(K198&lt;&gt;"rumus",(IF(OR(AND(L198="sks&gt;10",L197="sks&lt;=10",IFERROR(SUMPRODUCT($I$192:I197,$J$192:J197)&lt;10,FALSE)),AND(L198="sks&gt;10",L197="")),(((10-SUMPRODUCT($I$192:I197,$J$192:J197))&amp;" x "&amp;1)&amp;"
"&amp;(((I198*J198)-(10-SUMPRODUCT($I$192:I197,$J$192:J197)))&amp;" x "&amp;1)),(I198&amp;" x "&amp;J198))),"")</f>
        <v/>
      </c>
      <c r="F198" s="256" t="str">
        <f>IF(K198&lt;&gt;"rumus",(IF(OR(AND(L198="sks&gt;10",L197="sks&lt;=10",IFERROR(SUMPRODUCT($I$192:I197,$J$192:J197)&lt;10,FALSE)),AND(L198="sks&gt;10",L197="")),((IF('LAMPIRAN I DONE'!$F$21="Tenaga Pengajar",0.5,IF(OR('LAMPIRAN I DONE'!$F$21="Asisten Ahli",'LAMPIRAN I DONE'!$F$21="Lektor",'LAMPIRAN I DONE'!$F$21="Lektor Kepala",'LAMPIRAN I DONE'!$F$21="Guru Besar"),1,"")))&amp;"
"&amp;(IF('LAMPIRAN I DONE'!$F$21="Tenaga Pengajar",0.25,IF(OR('LAMPIRAN I DONE'!$F$21="Asisten Ahli",'LAMPIRAN I DONE'!$F$21="Lektor",'LAMPIRAN I DONE'!$F$21="Lektor Kepala",'LAMPIRAN I DONE'!$F$21="Guru Besar"),0.5,"")))),((IF(OR(AND(L198="sks&gt;10",L197="sks&gt;10"),AND(L198="sks&gt;10",L197="sks&lt;=10")),IF('LAMPIRAN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f>
        <v/>
      </c>
      <c r="G198" s="105" t="str">
        <f>IF(K198&lt;&gt;"rumus",(IF(OR(AND(L198="sks&gt;10",L197="sks&lt;=10",IFERROR(SUMPRODUCT($I$192:I197,$J$192:J197)&lt;10,FALSE)),AND(L198="sks&gt;10",L197="")),(((10-SUMPRODUCT($I$192:I197,$J$192:J197))&amp;" x "&amp;1&amp;" x "&amp;IF('LAMPIRAN I DONE'!$F$21="Tenaga Pengajar",0.5,IF(OR('LAMPIRAN I DONE'!$F$21="Asisten Ahli",'LAMPIRAN I DONE'!$F$21="Lektor",'LAMPIRAN I DONE'!$F$21="Lektor Kepala",'LAMPIRAN I DONE'!$F$21="Guru Besar"),1,""))&amp;" = "&amp;((10-SUMPRODUCT($I$192:I197,$J$192:J197))*IF('LAMPIRAN I DONE'!$F$21="Tenaga Pengajar",0.5,IF(OR('LAMPIRAN I DONE'!$F$21="Asisten Ahli",'LAMPIRAN I DONE'!$F$21="Lektor",'LAMPIRAN I DONE'!$F$21="Lektor Kepala",'LAMPIRAN I DONE'!$F$21="Guru Besar"),1,""))))&amp;"
"&amp;(((I198*J198)-(10-SUMPRODUCT($I$192:I197,$J$192:J197)))&amp;" x "&amp;1&amp;" x "&amp;IF('LAMPIRAN I DONE'!$F$21="Tenaga Pengajar",0.25,IF(OR('LAMPIRAN I DONE'!$F$21="Asisten Ahli",'LAMPIRAN I DONE'!$F$21="Lektor",'LAMPIRAN I DONE'!$F$21="Lektor Kepala",'LAMPIRAN I DONE'!$F$21="Guru Besar"),0.5,""))&amp;" = "&amp;(((I198*J198)-(10-SUMPRODUCT($I$192:I197,$J$192:J197)))*IF('LAMPIRAN I DONE'!$F$21="Tenaga Pengajar",0.25,IF(OR('LAMPIRAN I DONE'!$F$21="Asisten Ahli",'LAMPIRAN I DONE'!$F$21="Lektor",'LAMPIRAN I DONE'!$F$21="Lektor Kepala",'LAMPIRAN I DONE'!$F$21="Guru Besar"),0.5,""))))),(I198&amp;" x "&amp;J198&amp;" x "&amp;(IF(OR(AND(L198="sks&gt;10",L197="sks&gt;10"),AND(L198="sks&gt;10",L197="sks&lt;=10")),IF('LAMPIRAN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Besar"),1,""))))&amp;" = "&amp;K198))),"rumus")</f>
        <v>rumus</v>
      </c>
      <c r="H198" s="28" t="s">
        <v>620</v>
      </c>
      <c r="I198" s="34"/>
      <c r="J198" s="34"/>
      <c r="K198" s="27" t="str">
        <f>IF(AND(I198&lt;&gt;"",J198&lt;&gt;""),(IF(OR(AND(L198="sks&gt;10",L197="sks&lt;=10",IFERROR(SUMPRODUCT($I$192:I197,$J$192:J197)&lt;10,FALSE)),AND(L198="sks&gt;10",L197="")),(((10-SUMPRODUCT($I$192:I197,$J$192:J197))*IF('LAMPIRAN I DONE'!$F$21="Tenaga Pengajar",0.5,IF(OR('LAMPIRAN I DONE'!$F$21="Asisten Ahli",'LAMPIRAN I DONE'!$F$21="Lektor",'LAMPIRAN I DONE'!$F$21="Lektor Kepala",'LAMPIRAN I DONE'!$F$21="Guru Besar"),1,"")))+(((I198*J198)-(10-SUMPRODUCT($I$192:I197,$J$192:J197)))*IF('LAMPIRAN I DONE'!$F$21="Tenaga Pengajar",0.25,IF(OR('LAMPIRAN I DONE'!$F$21="Asisten Ahli",'LAMPIRAN I DONE'!$F$21="Lektor",'LAMPIRAN I DONE'!$F$21="Lektor Kepala",'LAMPIRAN I DONE'!$F$21="Guru Besar"),0.5,"")))),IF(OR(AND(L198="sks&gt;10",L197="sks&gt;10"),AND(L198="sks&gt;10",L197="sks&lt;=10")),I198*J198*IF('LAMPIRAN I DONE'!$F$21="Tenaga Pengajar",0.25,IF(OR('LAMPIRAN I DONE'!$F$21="Asisten Ahli",'LAMPIRAN I DONE'!$F$21="Lektor",'LAMPIRAN I DONE'!$F$21="Lektor Kepala",'LAMPIRAN I DONE'!$F$21="Guru Besar"),0.5,"")),I198*J198*IF('LAMPIRAN I DONE'!$F$21="Tenaga Pengajar",0.5,IF(OR('LAMPIRAN I DONE'!$F$21="Asisten Ahli",'LAMPIRAN I DONE'!$F$21="Lektor",'LAMPIRAN I DONE'!$F$21="Lektor Kepala",'LAMPIRAN I DONE'!$F$21="Guru Besar"),1,""))))),"rumus")</f>
        <v>rumus</v>
      </c>
      <c r="L198" s="27" t="str">
        <f>IF(AND(I198&lt;&gt;"",J198&lt;&gt;""),(IF(SUMPRODUCT($I$193:I198,$J$193:J198)&lt;=10,"SKS&lt;=10",IF(SUMPRODUCT($I$193:I198,$J$193:J198)&gt;10,"SKS&gt;10",""))),"rumus")</f>
        <v>rumus</v>
      </c>
    </row>
    <row r="199" spans="1:14" s="2" customFormat="1" ht="15" hidden="1" customHeight="1" x14ac:dyDescent="0.45">
      <c r="A199" s="67"/>
      <c r="B199" s="168" t="str">
        <f>"b. Semester Genap "&amp;IF(C200&lt;&gt;"",C200,"")&amp;" :"</f>
        <v>b. Semester Genap 2019/2020 :</v>
      </c>
      <c r="C199" s="30"/>
      <c r="D199" s="30"/>
      <c r="E199" s="30"/>
      <c r="F199" s="30"/>
      <c r="G199" s="30"/>
      <c r="H199" s="54"/>
      <c r="I199" s="496"/>
      <c r="J199" s="496"/>
      <c r="M199" s="104">
        <f>IF((AND(N199="Max 5,5",SUM(K193:K198)&lt;=5.5)),SUM(K193:K198),IF((AND(N199="Max 5,5",SUM(K193:K198)&gt;5.5)),5.5,IF((AND(N199="Max 11",SUM(K193:K198)&lt;=11)),SUM(K193:K198),IF((AND(N199="Max 11",SUM(K193:K198)&gt;11)),11,""))))</f>
        <v>0</v>
      </c>
      <c r="N199" s="33" t="str">
        <f>IF('LAMPIRAN I DONE'!$F$21="Tenaga Pengajar","Max 5,5",IF(OR('LAMPIRAN I DONE'!$F$21="Asisten Ahli",'LAMPIRAN I DONE'!$F$21="Lektor",'LAMPIRAN I DONE'!$F$21="Lektor Kepala",'LAMPIRAN I DONE'!$F$21="Guru Besar"),"Max 11",""))</f>
        <v>Max 11</v>
      </c>
    </row>
    <row r="200" spans="1:14" s="2" customFormat="1" ht="25.5" hidden="1" customHeight="1" x14ac:dyDescent="0.45">
      <c r="A200" s="67">
        <v>1</v>
      </c>
      <c r="B200" s="186" t="s">
        <v>81</v>
      </c>
      <c r="C200" s="28" t="s">
        <v>797</v>
      </c>
      <c r="D200" s="28" t="str">
        <f>IF(G200&lt;&gt;"rumus","SKS","")</f>
        <v/>
      </c>
      <c r="E200" s="256" t="str">
        <f>IF(K200&lt;&gt;"rumus",(IF(OR(AND(L200="sks&gt;10",L199="sks&lt;=10",IFERROR(SUMPRODUCT($I$199:I199,$J$199:J199)&lt;10,FALSE)),AND(L200="sks&gt;10",L199="")),(((10-SUMPRODUCT($I$199:I199,$J$199:J199))&amp;" x "&amp;1)&amp;"
"&amp;(((I200*J200)-(10-SUMPRODUCT($I$199:I199,$J$199:J199)))&amp;" x "&amp;1)),(I200&amp;" x "&amp;J200))),"")</f>
        <v/>
      </c>
      <c r="F200" s="256" t="str">
        <f>IF(K200&lt;&gt;"rumus",(IF(OR(AND(L200="sks&gt;10",L199="sks&lt;=10",IFERROR(SUMPRODUCT($I$199:I199,$J$199:J199)&lt;10,FALSE)),AND(L200="sks&gt;10",L199="")),((IF('LAMPIRAN I DONE'!$F$21="Tenaga Pengajar",0.5,IF(OR('LAMPIRAN I DONE'!$F$21="Asisten Ahli",'LAMPIRAN I DONE'!$F$21="Lektor",'LAMPIRAN I DONE'!$F$21="Lektor Kepala",'LAMPIRAN I DONE'!$F$21="Guru Besar"),1,"")))&amp;"
"&amp;(IF('LAMPIRAN I DONE'!$F$21="Tenaga Pengajar",0.25,IF(OR('LAMPIRAN I DONE'!$F$21="Asisten Ahli",'LAMPIRAN I DONE'!$F$21="Lektor",'LAMPIRAN I DONE'!$F$21="Lektor Kepala",'LAMPIRAN I DONE'!$F$21="Guru Besar"),0.5,"")))),((IF(OR(AND(L200="sks&gt;10",L199="sks&gt;10"),AND(L200="sks&gt;10",L199="sks&lt;=10")),IF('LAMPIRAN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f>
        <v/>
      </c>
      <c r="G200" s="105" t="str">
        <f>IF(K200&lt;&gt;"rumus",(IF(OR(AND(L200="sks&gt;10",L199="sks&lt;=10",IFERROR(SUMPRODUCT($I$199:I199,$J$199:J199)&lt;10,FALSE)),AND(L200="sks&gt;10",L199="")),(((10-SUMPRODUCT($I$199:I199,$J$199:J199))&amp;" x "&amp;1&amp;" x "&amp;IF('LAMPIRAN I DONE'!$F$21="Tenaga Pengajar",0.5,IF(OR('LAMPIRAN I DONE'!$F$21="Asisten Ahli",'LAMPIRAN I DONE'!$F$21="Lektor",'LAMPIRAN I DONE'!$F$21="Lektor Kepala",'LAMPIRAN I DONE'!$F$21="Guru Besar"),1,""))&amp;" = "&amp;((10-SUMPRODUCT($I$199:I199,$J$199:J199))*IF('LAMPIRAN I DONE'!$F$21="Tenaga Pengajar",0.5,IF(OR('LAMPIRAN I DONE'!$F$21="Asisten Ahli",'LAMPIRAN I DONE'!$F$21="Lektor",'LAMPIRAN I DONE'!$F$21="Lektor Kepala",'LAMPIRAN I DONE'!$F$21="Guru Besar"),1,""))))&amp;"
"&amp;(((I200*J200)-(10-SUMPRODUCT($I$199:I199,$J$199:J199)))&amp;" x "&amp;1&amp;" x "&amp;IF('LAMPIRAN I DONE'!$F$21="Tenaga Pengajar",0.25,IF(OR('LAMPIRAN I DONE'!$F$21="Asisten Ahli",'LAMPIRAN I DONE'!$F$21="Lektor",'LAMPIRAN I DONE'!$F$21="Lektor Kepala",'LAMPIRAN I DONE'!$F$21="Guru Besar"),0.5,""))&amp;" = "&amp;(((I200*J200)-(10-SUMPRODUCT($I$199:I199,$J$199:J199)))*IF('LAMPIRAN I DONE'!$F$21="Tenaga Pengajar",0.25,IF(OR('LAMPIRAN I DONE'!$F$21="Asisten Ahli",'LAMPIRAN I DONE'!$F$21="Lektor",'LAMPIRAN I DONE'!$F$21="Lektor Kepala",'LAMPIRAN I DONE'!$F$21="Guru Besar"),0.5,""))))),(I200&amp;" x "&amp;J200&amp;" x "&amp;(IF(OR(AND(L200="sks&gt;10",L199="sks&gt;10"),AND(L200="sks&gt;10",L199="sks&lt;=10")),IF('LAMPIRAN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Besar"),1,""))))&amp;" = "&amp;K200))),"rumus")</f>
        <v>rumus</v>
      </c>
      <c r="H200" s="28" t="s">
        <v>620</v>
      </c>
      <c r="I200" s="34"/>
      <c r="J200" s="34"/>
      <c r="K200" s="27" t="str">
        <f>IF(AND(I200&lt;&gt;"",J200&lt;&gt;""),(IF(OR(AND(L200="sks&gt;10",L199="sks&lt;=10",IFERROR(SUMPRODUCT($I$199:I199,$J$199:J199)&lt;10,FALSE)),AND(L200="sks&gt;10",L199="")),(((10-SUMPRODUCT($I$199:I199,$J$199:J199))*IF('LAMPIRAN I DONE'!$F$21="Tenaga Pengajar",0.5,IF(OR('LAMPIRAN I DONE'!$F$21="Asisten Ahli",'LAMPIRAN I DONE'!$F$21="Lektor",'LAMPIRAN I DONE'!$F$21="Lektor Kepala",'LAMPIRAN I DONE'!$F$21="Guru Besar"),1,"")))+(((I200*J200)-(10-SUMPRODUCT($I$199:I199,$J$199:J199)))*IF('LAMPIRAN I DONE'!$F$21="Tenaga Pengajar",0.25,IF(OR('LAMPIRAN I DONE'!$F$21="Asisten Ahli",'LAMPIRAN I DONE'!$F$21="Lektor",'LAMPIRAN I DONE'!$F$21="Lektor Kepala",'LAMPIRAN I DONE'!$F$21="Guru Besar"),0.5,"")))),IF(OR(AND(L200="sks&gt;10",L199="sks&gt;10"),AND(L200="sks&gt;10",L199="sks&lt;=10")),I200*J200*IF('LAMPIRAN I DONE'!$F$21="Tenaga Pengajar",0.25,IF(OR('LAMPIRAN I DONE'!$F$21="Asisten Ahli",'LAMPIRAN I DONE'!$F$21="Lektor",'LAMPIRAN I DONE'!$F$21="Lektor Kepala",'LAMPIRAN I DONE'!$F$21="Guru Besar"),0.5,"")),I200*J200*IF('LAMPIRAN I DONE'!$F$21="Tenaga Pengajar",0.5,IF(OR('LAMPIRAN I DONE'!$F$21="Asisten Ahli",'LAMPIRAN I DONE'!$F$21="Lektor",'LAMPIRAN I DONE'!$F$21="Lektor Kepala",'LAMPIRAN I DONE'!$F$21="Guru Besar"),1,""))))),"rumus")</f>
        <v>rumus</v>
      </c>
      <c r="L200" s="27" t="str">
        <f>IF(AND(I200&lt;&gt;"",J200&lt;&gt;""),(IF(SUMPRODUCT($I$200:I200,$J$200:J200)&lt;=10,"SKS&lt;=10",IF(SUMPRODUCT($I$200:I200,$J$200:J200)&gt;10,"SKS&gt;10",""))),"rumus")</f>
        <v>rumus</v>
      </c>
    </row>
    <row r="201" spans="1:14" s="2" customFormat="1" ht="25.5" hidden="1" customHeight="1" x14ac:dyDescent="0.45">
      <c r="A201" s="67">
        <v>2</v>
      </c>
      <c r="B201" s="186" t="s">
        <v>81</v>
      </c>
      <c r="C201" s="28" t="s">
        <v>797</v>
      </c>
      <c r="D201" s="28" t="str">
        <f t="shared" ref="D201:D205" si="30">IF(G201&lt;&gt;"rumus","SKS","")</f>
        <v/>
      </c>
      <c r="E201" s="256" t="str">
        <f>IF(K201&lt;&gt;"rumus",(IF(OR(AND(L201="sks&gt;10",L200="sks&lt;=10",IFERROR(SUMPRODUCT($I$199:I200,$J$199:J200)&lt;10,FALSE)),AND(L201="sks&gt;10",L200="")),(((10-SUMPRODUCT($I$199:I200,$J$199:J200))&amp;" x "&amp;1)&amp;"
"&amp;(((I201*J201)-(10-SUMPRODUCT($I$199:I200,$J$199:J200)))&amp;" x "&amp;1)),(I201&amp;" x "&amp;J201))),"")</f>
        <v/>
      </c>
      <c r="F201" s="256" t="str">
        <f>IF(K201&lt;&gt;"rumus",(IF(OR(AND(L201="sks&gt;10",L200="sks&lt;=10",IFERROR(SUMPRODUCT($I$199:I200,$J$199:J200)&lt;10,FALSE)),AND(L201="sks&gt;10",L200="")),((IF('LAMPIRAN I DONE'!$F$21="Tenaga Pengajar",0.5,IF(OR('LAMPIRAN I DONE'!$F$21="Asisten Ahli",'LAMPIRAN I DONE'!$F$21="Lektor",'LAMPIRAN I DONE'!$F$21="Lektor Kepala",'LAMPIRAN I DONE'!$F$21="Guru Besar"),1,"")))&amp;"
"&amp;(IF('LAMPIRAN I DONE'!$F$21="Tenaga Pengajar",0.25,IF(OR('LAMPIRAN I DONE'!$F$21="Asisten Ahli",'LAMPIRAN I DONE'!$F$21="Lektor",'LAMPIRAN I DONE'!$F$21="Lektor Kepala",'LAMPIRAN I DONE'!$F$21="Guru Besar"),0.5,"")))),((IF(OR(AND(L201="sks&gt;10",L200="sks&gt;10"),AND(L201="sks&gt;10",L200="sks&lt;=10")),IF('LAMPIRAN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f>
        <v/>
      </c>
      <c r="G201" s="105" t="str">
        <f>IF(K201&lt;&gt;"rumus",(IF(OR(AND(L201="sks&gt;10",L200="sks&lt;=10",IFERROR(SUMPRODUCT($I$199:I200,$J$199:J200)&lt;10,FALSE)),AND(L201="sks&gt;10",L200="")),(((10-SUMPRODUCT($I$199:I200,$J$199:J200))&amp;" x "&amp;1&amp;" x "&amp;IF('LAMPIRAN I DONE'!$F$21="Tenaga Pengajar",0.5,IF(OR('LAMPIRAN I DONE'!$F$21="Asisten Ahli",'LAMPIRAN I DONE'!$F$21="Lektor",'LAMPIRAN I DONE'!$F$21="Lektor Kepala",'LAMPIRAN I DONE'!$F$21="Guru Besar"),1,""))&amp;" = "&amp;((10-SUMPRODUCT($I$199:I200,$J$199:J200))*IF('LAMPIRAN I DONE'!$F$21="Tenaga Pengajar",0.5,IF(OR('LAMPIRAN I DONE'!$F$21="Asisten Ahli",'LAMPIRAN I DONE'!$F$21="Lektor",'LAMPIRAN I DONE'!$F$21="Lektor Kepala",'LAMPIRAN I DONE'!$F$21="Guru Besar"),1,""))))&amp;"
"&amp;(((I201*J201)-(10-SUMPRODUCT($I$199:I200,$J$199:J200)))&amp;" x "&amp;1&amp;" x "&amp;IF('LAMPIRAN I DONE'!$F$21="Tenaga Pengajar",0.25,IF(OR('LAMPIRAN I DONE'!$F$21="Asisten Ahli",'LAMPIRAN I DONE'!$F$21="Lektor",'LAMPIRAN I DONE'!$F$21="Lektor Kepala",'LAMPIRAN I DONE'!$F$21="Guru Besar"),0.5,""))&amp;" = "&amp;(((I201*J201)-(10-SUMPRODUCT($I$199:I200,$J$199:J200)))*IF('LAMPIRAN I DONE'!$F$21="Tenaga Pengajar",0.25,IF(OR('LAMPIRAN I DONE'!$F$21="Asisten Ahli",'LAMPIRAN I DONE'!$F$21="Lektor",'LAMPIRAN I DONE'!$F$21="Lektor Kepala",'LAMPIRAN I DONE'!$F$21="Guru Besar"),0.5,""))))),(I201&amp;" x "&amp;J201&amp;" x "&amp;(IF(OR(AND(L201="sks&gt;10",L200="sks&gt;10"),AND(L201="sks&gt;10",L200="sks&lt;=10")),IF('LAMPIRAN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Besar"),1,""))))&amp;" = "&amp;K201))),"rumus")</f>
        <v>rumus</v>
      </c>
      <c r="H201" s="28" t="s">
        <v>620</v>
      </c>
      <c r="I201" s="34"/>
      <c r="J201" s="34"/>
      <c r="K201" s="27" t="str">
        <f>IF(AND(I201&lt;&gt;"",J201&lt;&gt;""),(IF(OR(AND(L201="sks&gt;10",L200="sks&lt;=10",IFERROR(SUMPRODUCT($I$199:I200,$J$199:J200)&lt;10,FALSE)),AND(L201="sks&gt;10",L200="")),(((10-SUMPRODUCT($I$199:I200,$J$199:J200))*IF('LAMPIRAN I DONE'!$F$21="Tenaga Pengajar",0.5,IF(OR('LAMPIRAN I DONE'!$F$21="Asisten Ahli",'LAMPIRAN I DONE'!$F$21="Lektor",'LAMPIRAN I DONE'!$F$21="Lektor Kepala",'LAMPIRAN I DONE'!$F$21="Guru Besar"),1,"")))+(((I201*J201)-(10-SUMPRODUCT($I$199:I200,$J$199:J200)))*IF('LAMPIRAN I DONE'!$F$21="Tenaga Pengajar",0.25,IF(OR('LAMPIRAN I DONE'!$F$21="Asisten Ahli",'LAMPIRAN I DONE'!$F$21="Lektor",'LAMPIRAN I DONE'!$F$21="Lektor Kepala",'LAMPIRAN I DONE'!$F$21="Guru Besar"),0.5,"")))),IF(OR(AND(L201="sks&gt;10",L200="sks&gt;10"),AND(L201="sks&gt;10",L200="sks&lt;=10")),I201*J201*IF('LAMPIRAN I DONE'!$F$21="Tenaga Pengajar",0.25,IF(OR('LAMPIRAN I DONE'!$F$21="Asisten Ahli",'LAMPIRAN I DONE'!$F$21="Lektor",'LAMPIRAN I DONE'!$F$21="Lektor Kepala",'LAMPIRAN I DONE'!$F$21="Guru Besar"),0.5,"")),I201*J201*IF('LAMPIRAN I DONE'!$F$21="Tenaga Pengajar",0.5,IF(OR('LAMPIRAN I DONE'!$F$21="Asisten Ahli",'LAMPIRAN I DONE'!$F$21="Lektor",'LAMPIRAN I DONE'!$F$21="Lektor Kepala",'LAMPIRAN I DONE'!$F$21="Guru Besar"),1,""))))),"rumus")</f>
        <v>rumus</v>
      </c>
      <c r="L201" s="27" t="str">
        <f>IF(AND(I201&lt;&gt;"",J201&lt;&gt;""),(IF(SUMPRODUCT($I$200:I201,$J$200:J201)&lt;=10,"SKS&lt;=10",IF(SUMPRODUCT($I$200:I201,$J$200:J201)&gt;10,"SKS&gt;10",""))),"rumus")</f>
        <v>rumus</v>
      </c>
    </row>
    <row r="202" spans="1:14" s="2" customFormat="1" ht="25.5" hidden="1" customHeight="1" x14ac:dyDescent="0.45">
      <c r="A202" s="67">
        <v>3</v>
      </c>
      <c r="B202" s="186" t="s">
        <v>81</v>
      </c>
      <c r="C202" s="28" t="s">
        <v>797</v>
      </c>
      <c r="D202" s="28" t="str">
        <f t="shared" si="30"/>
        <v/>
      </c>
      <c r="E202" s="256" t="str">
        <f>IF(K202&lt;&gt;"rumus",(IF(OR(AND(L202="sks&gt;10",L201="sks&lt;=10",IFERROR(SUMPRODUCT($I$199:I201,$J$199:J201)&lt;10,FALSE)),AND(L202="sks&gt;10",L201="")),(((10-SUMPRODUCT($I$199:I201,$J$199:J201))&amp;" x "&amp;1)&amp;"
"&amp;(((I202*J202)-(10-SUMPRODUCT($I$199:I201,$J$199:J201)))&amp;" x "&amp;1)),(I202&amp;" x "&amp;J202))),"")</f>
        <v/>
      </c>
      <c r="F202" s="256" t="str">
        <f>IF(K202&lt;&gt;"rumus",(IF(OR(AND(L202="sks&gt;10",L201="sks&lt;=10",IFERROR(SUMPRODUCT($I$199:I201,$J$199:J201)&lt;10,FALSE)),AND(L202="sks&gt;10",L201="")),((IF('LAMPIRAN I DONE'!$F$21="Tenaga Pengajar",0.5,IF(OR('LAMPIRAN I DONE'!$F$21="Asisten Ahli",'LAMPIRAN I DONE'!$F$21="Lektor",'LAMPIRAN I DONE'!$F$21="Lektor Kepala",'LAMPIRAN I DONE'!$F$21="Guru Besar"),1,"")))&amp;"
"&amp;(IF('LAMPIRAN I DONE'!$F$21="Tenaga Pengajar",0.25,IF(OR('LAMPIRAN I DONE'!$F$21="Asisten Ahli",'LAMPIRAN I DONE'!$F$21="Lektor",'LAMPIRAN I DONE'!$F$21="Lektor Kepala",'LAMPIRAN I DONE'!$F$21="Guru Besar"),0.5,"")))),((IF(OR(AND(L202="sks&gt;10",L201="sks&gt;10"),AND(L202="sks&gt;10",L201="sks&lt;=10")),IF('LAMPIRAN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f>
        <v/>
      </c>
      <c r="G202" s="105" t="str">
        <f>IF(K202&lt;&gt;"rumus",(IF(OR(AND(L202="sks&gt;10",L201="sks&lt;=10",IFERROR(SUMPRODUCT($I$199:I201,$J$199:J201)&lt;10,FALSE)),AND(L202="sks&gt;10",L201="")),(((10-SUMPRODUCT($I$199:I201,$J$199:J201))&amp;" x "&amp;1&amp;" x "&amp;IF('LAMPIRAN I DONE'!$F$21="Tenaga Pengajar",0.5,IF(OR('LAMPIRAN I DONE'!$F$21="Asisten Ahli",'LAMPIRAN I DONE'!$F$21="Lektor",'LAMPIRAN I DONE'!$F$21="Lektor Kepala",'LAMPIRAN I DONE'!$F$21="Guru Besar"),1,""))&amp;" = "&amp;((10-SUMPRODUCT($I$199:I201,$J$199:J201))*IF('LAMPIRAN I DONE'!$F$21="Tenaga Pengajar",0.5,IF(OR('LAMPIRAN I DONE'!$F$21="Asisten Ahli",'LAMPIRAN I DONE'!$F$21="Lektor",'LAMPIRAN I DONE'!$F$21="Lektor Kepala",'LAMPIRAN I DONE'!$F$21="Guru Besar"),1,""))))&amp;"
"&amp;(((I202*J202)-(10-SUMPRODUCT($I$199:I201,$J$199:J201)))&amp;" x "&amp;1&amp;" x "&amp;IF('LAMPIRAN I DONE'!$F$21="Tenaga Pengajar",0.25,IF(OR('LAMPIRAN I DONE'!$F$21="Asisten Ahli",'LAMPIRAN I DONE'!$F$21="Lektor",'LAMPIRAN I DONE'!$F$21="Lektor Kepala",'LAMPIRAN I DONE'!$F$21="Guru Besar"),0.5,""))&amp;" = "&amp;(((I202*J202)-(10-SUMPRODUCT($I$199:I201,$J$199:J201)))*IF('LAMPIRAN I DONE'!$F$21="Tenaga Pengajar",0.25,IF(OR('LAMPIRAN I DONE'!$F$21="Asisten Ahli",'LAMPIRAN I DONE'!$F$21="Lektor",'LAMPIRAN I DONE'!$F$21="Lektor Kepala",'LAMPIRAN I DONE'!$F$21="Guru Besar"),0.5,""))))),(I202&amp;" x "&amp;J202&amp;" x "&amp;(IF(OR(AND(L202="sks&gt;10",L201="sks&gt;10"),AND(L202="sks&gt;10",L201="sks&lt;=10")),IF('LAMPIRAN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Besar"),1,""))))&amp;" = "&amp;K202))),"rumus")</f>
        <v>rumus</v>
      </c>
      <c r="H202" s="28" t="s">
        <v>620</v>
      </c>
      <c r="I202" s="34"/>
      <c r="J202" s="34"/>
      <c r="K202" s="27" t="str">
        <f>IF(AND(I202&lt;&gt;"",J202&lt;&gt;""),(IF(OR(AND(L202="sks&gt;10",L201="sks&lt;=10",IFERROR(SUMPRODUCT($I$199:I201,$J$199:J201)&lt;10,FALSE)),AND(L202="sks&gt;10",L201="")),(((10-SUMPRODUCT($I$199:I201,$J$199:J201))*IF('LAMPIRAN I DONE'!$F$21="Tenaga Pengajar",0.5,IF(OR('LAMPIRAN I DONE'!$F$21="Asisten Ahli",'LAMPIRAN I DONE'!$F$21="Lektor",'LAMPIRAN I DONE'!$F$21="Lektor Kepala",'LAMPIRAN I DONE'!$F$21="Guru Besar"),1,"")))+(((I202*J202)-(10-SUMPRODUCT($I$199:I201,$J$199:J201)))*IF('LAMPIRAN I DONE'!$F$21="Tenaga Pengajar",0.25,IF(OR('LAMPIRAN I DONE'!$F$21="Asisten Ahli",'LAMPIRAN I DONE'!$F$21="Lektor",'LAMPIRAN I DONE'!$F$21="Lektor Kepala",'LAMPIRAN I DONE'!$F$21="Guru Besar"),0.5,"")))),IF(OR(AND(L202="sks&gt;10",L201="sks&gt;10"),AND(L202="sks&gt;10",L201="sks&lt;=10")),I202*J202*IF('LAMPIRAN I DONE'!$F$21="Tenaga Pengajar",0.25,IF(OR('LAMPIRAN I DONE'!$F$21="Asisten Ahli",'LAMPIRAN I DONE'!$F$21="Lektor",'LAMPIRAN I DONE'!$F$21="Lektor Kepala",'LAMPIRAN I DONE'!$F$21="Guru Besar"),0.5,"")),I202*J202*IF('LAMPIRAN I DONE'!$F$21="Tenaga Pengajar",0.5,IF(OR('LAMPIRAN I DONE'!$F$21="Asisten Ahli",'LAMPIRAN I DONE'!$F$21="Lektor",'LAMPIRAN I DONE'!$F$21="Lektor Kepala",'LAMPIRAN I DONE'!$F$21="Guru Besar"),1,""))))),"rumus")</f>
        <v>rumus</v>
      </c>
      <c r="L202" s="27" t="str">
        <f>IF(AND(I202&lt;&gt;"",J202&lt;&gt;""),(IF(SUMPRODUCT($I$200:I202,$J$200:J202)&lt;=10,"SKS&lt;=10",IF(SUMPRODUCT($I$200:I202,$J$200:J202)&gt;10,"SKS&gt;10",""))),"rumus")</f>
        <v>rumus</v>
      </c>
    </row>
    <row r="203" spans="1:14" s="2" customFormat="1" ht="25.5" hidden="1" customHeight="1" x14ac:dyDescent="0.45">
      <c r="A203" s="67">
        <v>4</v>
      </c>
      <c r="B203" s="186" t="s">
        <v>81</v>
      </c>
      <c r="C203" s="28" t="s">
        <v>797</v>
      </c>
      <c r="D203" s="28" t="str">
        <f t="shared" si="30"/>
        <v/>
      </c>
      <c r="E203" s="256" t="str">
        <f>IF(K203&lt;&gt;"rumus",(IF(OR(AND(L203="sks&gt;10",L202="sks&lt;=10",IFERROR(SUMPRODUCT($I$199:I202,$J$199:J202)&lt;10,FALSE)),AND(L203="sks&gt;10",L202="")),(((10-SUMPRODUCT($I$199:I202,$J$199:J202))&amp;" x "&amp;1)&amp;"
"&amp;(((I203*J203)-(10-SUMPRODUCT($I$199:I202,$J$199:J202)))&amp;" x "&amp;1)),(I203&amp;" x "&amp;J203))),"")</f>
        <v/>
      </c>
      <c r="F203" s="256" t="str">
        <f>IF(K203&lt;&gt;"rumus",(IF(OR(AND(L203="sks&gt;10",L202="sks&lt;=10",IFERROR(SUMPRODUCT($I$199:I202,$J$199:J202)&lt;10,FALSE)),AND(L203="sks&gt;10",L202="")),((IF('LAMPIRAN I DONE'!$F$21="Tenaga Pengajar",0.5,IF(OR('LAMPIRAN I DONE'!$F$21="Asisten Ahli",'LAMPIRAN I DONE'!$F$21="Lektor",'LAMPIRAN I DONE'!$F$21="Lektor Kepala",'LAMPIRAN I DONE'!$F$21="Guru Besar"),1,"")))&amp;"
"&amp;(IF('LAMPIRAN I DONE'!$F$21="Tenaga Pengajar",0.25,IF(OR('LAMPIRAN I DONE'!$F$21="Asisten Ahli",'LAMPIRAN I DONE'!$F$21="Lektor",'LAMPIRAN I DONE'!$F$21="Lektor Kepala",'LAMPIRAN I DONE'!$F$21="Guru Besar"),0.5,"")))),((IF(OR(AND(L203="sks&gt;10",L202="sks&gt;10"),AND(L203="sks&gt;10",L202="sks&lt;=10")),IF('LAMPIRAN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f>
        <v/>
      </c>
      <c r="G203" s="105" t="str">
        <f>IF(K203&lt;&gt;"rumus",(IF(OR(AND(L203="sks&gt;10",L202="sks&lt;=10",IFERROR(SUMPRODUCT($I$199:I202,$J$199:J202)&lt;10,FALSE)),AND(L203="sks&gt;10",L202="")),(((10-SUMPRODUCT($I$199:I202,$J$199:J202))&amp;" x "&amp;1&amp;" x "&amp;IF('LAMPIRAN I DONE'!$F$21="Tenaga Pengajar",0.5,IF(OR('LAMPIRAN I DONE'!$F$21="Asisten Ahli",'LAMPIRAN I DONE'!$F$21="Lektor",'LAMPIRAN I DONE'!$F$21="Lektor Kepala",'LAMPIRAN I DONE'!$F$21="Guru Besar"),1,""))&amp;" = "&amp;((10-SUMPRODUCT($I$199:I202,$J$199:J202))*IF('LAMPIRAN I DONE'!$F$21="Tenaga Pengajar",0.5,IF(OR('LAMPIRAN I DONE'!$F$21="Asisten Ahli",'LAMPIRAN I DONE'!$F$21="Lektor",'LAMPIRAN I DONE'!$F$21="Lektor Kepala",'LAMPIRAN I DONE'!$F$21="Guru Besar"),1,""))))&amp;"
"&amp;(((I203*J203)-(10-SUMPRODUCT($I$199:I202,$J$199:J202)))&amp;" x "&amp;1&amp;" x "&amp;IF('LAMPIRAN I DONE'!$F$21="Tenaga Pengajar",0.25,IF(OR('LAMPIRAN I DONE'!$F$21="Asisten Ahli",'LAMPIRAN I DONE'!$F$21="Lektor",'LAMPIRAN I DONE'!$F$21="Lektor Kepala",'LAMPIRAN I DONE'!$F$21="Guru Besar"),0.5,""))&amp;" = "&amp;(((I203*J203)-(10-SUMPRODUCT($I$199:I202,$J$199:J202)))*IF('LAMPIRAN I DONE'!$F$21="Tenaga Pengajar",0.25,IF(OR('LAMPIRAN I DONE'!$F$21="Asisten Ahli",'LAMPIRAN I DONE'!$F$21="Lektor",'LAMPIRAN I DONE'!$F$21="Lektor Kepala",'LAMPIRAN I DONE'!$F$21="Guru Besar"),0.5,""))))),(I203&amp;" x "&amp;J203&amp;" x "&amp;(IF(OR(AND(L203="sks&gt;10",L202="sks&gt;10"),AND(L203="sks&gt;10",L202="sks&lt;=10")),IF('LAMPIRAN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Besar"),1,""))))&amp;" = "&amp;K203))),"rumus")</f>
        <v>rumus</v>
      </c>
      <c r="H203" s="28" t="s">
        <v>620</v>
      </c>
      <c r="I203" s="34"/>
      <c r="J203" s="34"/>
      <c r="K203" s="27" t="str">
        <f>IF(AND(I203&lt;&gt;"",J203&lt;&gt;""),(IF(OR(AND(L203="sks&gt;10",L202="sks&lt;=10",IFERROR(SUMPRODUCT($I$199:I202,$J$199:J202)&lt;10,FALSE)),AND(L203="sks&gt;10",L202="")),(((10-SUMPRODUCT($I$199:I202,$J$199:J202))*IF('LAMPIRAN I DONE'!$F$21="Tenaga Pengajar",0.5,IF(OR('LAMPIRAN I DONE'!$F$21="Asisten Ahli",'LAMPIRAN I DONE'!$F$21="Lektor",'LAMPIRAN I DONE'!$F$21="Lektor Kepala",'LAMPIRAN I DONE'!$F$21="Guru Besar"),1,"")))+(((I203*J203)-(10-SUMPRODUCT($I$199:I202,$J$199:J202)))*IF('LAMPIRAN I DONE'!$F$21="Tenaga Pengajar",0.25,IF(OR('LAMPIRAN I DONE'!$F$21="Asisten Ahli",'LAMPIRAN I DONE'!$F$21="Lektor",'LAMPIRAN I DONE'!$F$21="Lektor Kepala",'LAMPIRAN I DONE'!$F$21="Guru Besar"),0.5,"")))),IF(OR(AND(L203="sks&gt;10",L202="sks&gt;10"),AND(L203="sks&gt;10",L202="sks&lt;=10")),I203*J203*IF('LAMPIRAN I DONE'!$F$21="Tenaga Pengajar",0.25,IF(OR('LAMPIRAN I DONE'!$F$21="Asisten Ahli",'LAMPIRAN I DONE'!$F$21="Lektor",'LAMPIRAN I DONE'!$F$21="Lektor Kepala",'LAMPIRAN I DONE'!$F$21="Guru Besar"),0.5,"")),I203*J203*IF('LAMPIRAN I DONE'!$F$21="Tenaga Pengajar",0.5,IF(OR('LAMPIRAN I DONE'!$F$21="Asisten Ahli",'LAMPIRAN I DONE'!$F$21="Lektor",'LAMPIRAN I DONE'!$F$21="Lektor Kepala",'LAMPIRAN I DONE'!$F$21="Guru Besar"),1,""))))),"rumus")</f>
        <v>rumus</v>
      </c>
      <c r="L203" s="27" t="str">
        <f>IF(AND(I203&lt;&gt;"",J203&lt;&gt;""),(IF(SUMPRODUCT($I$200:I203,$J$200:J203)&lt;=10,"SKS&lt;=10",IF(SUMPRODUCT($I$200:I203,$J$200:J203)&gt;10,"SKS&gt;10",""))),"rumus")</f>
        <v>rumus</v>
      </c>
    </row>
    <row r="204" spans="1:14" s="2" customFormat="1" ht="25.5" hidden="1" customHeight="1" x14ac:dyDescent="0.45">
      <c r="A204" s="67">
        <v>5</v>
      </c>
      <c r="B204" s="186" t="s">
        <v>81</v>
      </c>
      <c r="C204" s="28" t="s">
        <v>797</v>
      </c>
      <c r="D204" s="28" t="str">
        <f t="shared" si="30"/>
        <v/>
      </c>
      <c r="E204" s="256" t="str">
        <f>IF(K204&lt;&gt;"rumus",(IF(OR(AND(L204="sks&gt;10",L203="sks&lt;=10",IFERROR(SUMPRODUCT($I$199:I203,$J$199:J203)&lt;10,FALSE)),AND(L204="sks&gt;10",L203="")),(((10-SUMPRODUCT($I$199:I203,$J$199:J203))&amp;" x "&amp;1)&amp;"
"&amp;(((I204*J204)-(10-SUMPRODUCT($I$199:I203,$J$199:J203)))&amp;" x "&amp;1)),(I204&amp;" x "&amp;J204))),"")</f>
        <v/>
      </c>
      <c r="F204" s="256" t="str">
        <f>IF(K204&lt;&gt;"rumus",(IF(OR(AND(L204="sks&gt;10",L203="sks&lt;=10",IFERROR(SUMPRODUCT($I$199:I203,$J$199:J203)&lt;10,FALSE)),AND(L204="sks&gt;10",L203="")),((IF('LAMPIRAN I DONE'!$F$21="Tenaga Pengajar",0.5,IF(OR('LAMPIRAN I DONE'!$F$21="Asisten Ahli",'LAMPIRAN I DONE'!$F$21="Lektor",'LAMPIRAN I DONE'!$F$21="Lektor Kepala",'LAMPIRAN I DONE'!$F$21="Guru Besar"),1,"")))&amp;"
"&amp;(IF('LAMPIRAN I DONE'!$F$21="Tenaga Pengajar",0.25,IF(OR('LAMPIRAN I DONE'!$F$21="Asisten Ahli",'LAMPIRAN I DONE'!$F$21="Lektor",'LAMPIRAN I DONE'!$F$21="Lektor Kepala",'LAMPIRAN I DONE'!$F$21="Guru Besar"),0.5,"")))),((IF(OR(AND(L204="sks&gt;10",L203="sks&gt;10"),AND(L204="sks&gt;10",L203="sks&lt;=10")),IF('LAMPIRAN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f>
        <v/>
      </c>
      <c r="G204" s="105" t="str">
        <f>IF(K204&lt;&gt;"rumus",(IF(OR(AND(L204="sks&gt;10",L203="sks&lt;=10",IFERROR(SUMPRODUCT($I$199:I203,$J$199:J203)&lt;10,FALSE)),AND(L204="sks&gt;10",L203="")),(((10-SUMPRODUCT($I$199:I203,$J$199:J203))&amp;" x "&amp;1&amp;" x "&amp;IF('LAMPIRAN I DONE'!$F$21="Tenaga Pengajar",0.5,IF(OR('LAMPIRAN I DONE'!$F$21="Asisten Ahli",'LAMPIRAN I DONE'!$F$21="Lektor",'LAMPIRAN I DONE'!$F$21="Lektor Kepala",'LAMPIRAN I DONE'!$F$21="Guru Besar"),1,""))&amp;" = "&amp;((10-SUMPRODUCT($I$199:I203,$J$199:J203))*IF('LAMPIRAN I DONE'!$F$21="Tenaga Pengajar",0.5,IF(OR('LAMPIRAN I DONE'!$F$21="Asisten Ahli",'LAMPIRAN I DONE'!$F$21="Lektor",'LAMPIRAN I DONE'!$F$21="Lektor Kepala",'LAMPIRAN I DONE'!$F$21="Guru Besar"),1,""))))&amp;"
"&amp;(((I204*J204)-(10-SUMPRODUCT($I$199:I203,$J$199:J203)))&amp;" x "&amp;1&amp;" x "&amp;IF('LAMPIRAN I DONE'!$F$21="Tenaga Pengajar",0.25,IF(OR('LAMPIRAN I DONE'!$F$21="Asisten Ahli",'LAMPIRAN I DONE'!$F$21="Lektor",'LAMPIRAN I DONE'!$F$21="Lektor Kepala",'LAMPIRAN I DONE'!$F$21="Guru Besar"),0.5,""))&amp;" = "&amp;(((I204*J204)-(10-SUMPRODUCT($I$199:I203,$J$199:J203)))*IF('LAMPIRAN I DONE'!$F$21="Tenaga Pengajar",0.25,IF(OR('LAMPIRAN I DONE'!$F$21="Asisten Ahli",'LAMPIRAN I DONE'!$F$21="Lektor",'LAMPIRAN I DONE'!$F$21="Lektor Kepala",'LAMPIRAN I DONE'!$F$21="Guru Besar"),0.5,""))))),(I204&amp;" x "&amp;J204&amp;" x "&amp;(IF(OR(AND(L204="sks&gt;10",L203="sks&gt;10"),AND(L204="sks&gt;10",L203="sks&lt;=10")),IF('LAMPIRAN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Besar"),1,""))))&amp;" = "&amp;K204))),"rumus")</f>
        <v>rumus</v>
      </c>
      <c r="H204" s="28" t="s">
        <v>620</v>
      </c>
      <c r="I204" s="34"/>
      <c r="J204" s="34"/>
      <c r="K204" s="27" t="str">
        <f>IF(AND(I204&lt;&gt;"",J204&lt;&gt;""),(IF(OR(AND(L204="sks&gt;10",L203="sks&lt;=10",IFERROR(SUMPRODUCT($I$199:I203,$J$199:J203)&lt;10,FALSE)),AND(L204="sks&gt;10",L203="")),(((10-SUMPRODUCT($I$199:I203,$J$199:J203))*IF('LAMPIRAN I DONE'!$F$21="Tenaga Pengajar",0.5,IF(OR('LAMPIRAN I DONE'!$F$21="Asisten Ahli",'LAMPIRAN I DONE'!$F$21="Lektor",'LAMPIRAN I DONE'!$F$21="Lektor Kepala",'LAMPIRAN I DONE'!$F$21="Guru Besar"),1,"")))+(((I204*J204)-(10-SUMPRODUCT($I$199:I203,$J$199:J203)))*IF('LAMPIRAN I DONE'!$F$21="Tenaga Pengajar",0.25,IF(OR('LAMPIRAN I DONE'!$F$21="Asisten Ahli",'LAMPIRAN I DONE'!$F$21="Lektor",'LAMPIRAN I DONE'!$F$21="Lektor Kepala",'LAMPIRAN I DONE'!$F$21="Guru Besar"),0.5,"")))),IF(OR(AND(L204="sks&gt;10",L203="sks&gt;10"),AND(L204="sks&gt;10",L203="sks&lt;=10")),I204*J204*IF('LAMPIRAN I DONE'!$F$21="Tenaga Pengajar",0.25,IF(OR('LAMPIRAN I DONE'!$F$21="Asisten Ahli",'LAMPIRAN I DONE'!$F$21="Lektor",'LAMPIRAN I DONE'!$F$21="Lektor Kepala",'LAMPIRAN I DONE'!$F$21="Guru Besar"),0.5,"")),I204*J204*IF('LAMPIRAN I DONE'!$F$21="Tenaga Pengajar",0.5,IF(OR('LAMPIRAN I DONE'!$F$21="Asisten Ahli",'LAMPIRAN I DONE'!$F$21="Lektor",'LAMPIRAN I DONE'!$F$21="Lektor Kepala",'LAMPIRAN I DONE'!$F$21="Guru Besar"),1,""))))),"rumus")</f>
        <v>rumus</v>
      </c>
      <c r="L204" s="27" t="str">
        <f>IF(AND(I204&lt;&gt;"",J204&lt;&gt;""),(IF(SUMPRODUCT($I$200:I204,$J$200:J204)&lt;=10,"SKS&lt;=10",IF(SUMPRODUCT($I$200:I204,$J$200:J204)&gt;10,"SKS&gt;10",""))),"rumus")</f>
        <v>rumus</v>
      </c>
    </row>
    <row r="205" spans="1:14" s="2" customFormat="1" ht="25.5" hidden="1" customHeight="1" x14ac:dyDescent="0.45">
      <c r="A205" s="67">
        <v>6</v>
      </c>
      <c r="B205" s="186" t="s">
        <v>81</v>
      </c>
      <c r="C205" s="28" t="s">
        <v>797</v>
      </c>
      <c r="D205" s="28" t="str">
        <f t="shared" si="30"/>
        <v/>
      </c>
      <c r="E205" s="256" t="str">
        <f>IF(K205&lt;&gt;"rumus",(IF(OR(AND(L205="sks&gt;10",L204="sks&lt;=10",IFERROR(SUMPRODUCT($I$199:I204,$J$199:J204)&lt;10,FALSE)),AND(L205="sks&gt;10",L204="")),(((10-SUMPRODUCT($I$199:I204,$J$199:J204))&amp;" x "&amp;1)&amp;"
"&amp;(((I205*J205)-(10-SUMPRODUCT($I$199:I204,$J$199:J204)))&amp;" x "&amp;1)),(I205&amp;" x "&amp;J205))),"")</f>
        <v/>
      </c>
      <c r="F205" s="256" t="str">
        <f>IF(K205&lt;&gt;"rumus",(IF(OR(AND(L205="sks&gt;10",L204="sks&lt;=10",IFERROR(SUMPRODUCT($I$199:I204,$J$199:J204)&lt;10,FALSE)),AND(L205="sks&gt;10",L204="")),((IF('LAMPIRAN I DONE'!$F$21="Tenaga Pengajar",0.5,IF(OR('LAMPIRAN I DONE'!$F$21="Asisten Ahli",'LAMPIRAN I DONE'!$F$21="Lektor",'LAMPIRAN I DONE'!$F$21="Lektor Kepala",'LAMPIRAN I DONE'!$F$21="Guru Besar"),1,"")))&amp;"
"&amp;(IF('LAMPIRAN I DONE'!$F$21="Tenaga Pengajar",0.25,IF(OR('LAMPIRAN I DONE'!$F$21="Asisten Ahli",'LAMPIRAN I DONE'!$F$21="Lektor",'LAMPIRAN I DONE'!$F$21="Lektor Kepala",'LAMPIRAN I DONE'!$F$21="Guru Besar"),0.5,"")))),((IF(OR(AND(L205="sks&gt;10",L204="sks&gt;10"),AND(L205="sks&gt;10",L204="sks&lt;=10")),IF('LAMPIRAN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f>
        <v/>
      </c>
      <c r="G205" s="105" t="str">
        <f>IF(K205&lt;&gt;"rumus",(IF(OR(AND(L205="sks&gt;10",L204="sks&lt;=10",IFERROR(SUMPRODUCT($I$199:I204,$J$199:J204)&lt;10,FALSE)),AND(L205="sks&gt;10",L204="")),(((10-SUMPRODUCT($I$199:I204,$J$199:J204))&amp;" x "&amp;1&amp;" x "&amp;IF('LAMPIRAN I DONE'!$F$21="Tenaga Pengajar",0.5,IF(OR('LAMPIRAN I DONE'!$F$21="Asisten Ahli",'LAMPIRAN I DONE'!$F$21="Lektor",'LAMPIRAN I DONE'!$F$21="Lektor Kepala",'LAMPIRAN I DONE'!$F$21="Guru Besar"),1,""))&amp;" = "&amp;((10-SUMPRODUCT($I$199:I204,$J$199:J204))*IF('LAMPIRAN I DONE'!$F$21="Tenaga Pengajar",0.5,IF(OR('LAMPIRAN I DONE'!$F$21="Asisten Ahli",'LAMPIRAN I DONE'!$F$21="Lektor",'LAMPIRAN I DONE'!$F$21="Lektor Kepala",'LAMPIRAN I DONE'!$F$21="Guru Besar"),1,""))))&amp;"
"&amp;(((I205*J205)-(10-SUMPRODUCT($I$199:I204,$J$199:J204)))&amp;" x "&amp;1&amp;" x "&amp;IF('LAMPIRAN I DONE'!$F$21="Tenaga Pengajar",0.25,IF(OR('LAMPIRAN I DONE'!$F$21="Asisten Ahli",'LAMPIRAN I DONE'!$F$21="Lektor",'LAMPIRAN I DONE'!$F$21="Lektor Kepala",'LAMPIRAN I DONE'!$F$21="Guru Besar"),0.5,""))&amp;" = "&amp;(((I205*J205)-(10-SUMPRODUCT($I$199:I204,$J$199:J204)))*IF('LAMPIRAN I DONE'!$F$21="Tenaga Pengajar",0.25,IF(OR('LAMPIRAN I DONE'!$F$21="Asisten Ahli",'LAMPIRAN I DONE'!$F$21="Lektor",'LAMPIRAN I DONE'!$F$21="Lektor Kepala",'LAMPIRAN I DONE'!$F$21="Guru Besar"),0.5,""))))),(I205&amp;" x "&amp;J205&amp;" x "&amp;(IF(OR(AND(L205="sks&gt;10",L204="sks&gt;10"),AND(L205="sks&gt;10",L204="sks&lt;=10")),IF('LAMPIRAN I DONE'!$F$21="Tenaga Pengajar",0.25,IF(OR('LAMPIRAN I DONE'!$F$21="Asisten Ahli",'LAMPIRAN I DONE'!$F$21="Lektor",'LAMPIRAN I DONE'!$F$21="Lektor Kepala",'LAMPIRAN I DONE'!$F$21="Guru Besar"),0.5,"")),IF('LAMPIRAN I DONE'!$F$21="Tenaga Pengajar",0.5,IF(OR('LAMPIRAN I DONE'!$F$21="Asisten Ahli",'LAMPIRAN I DONE'!$F$21="Lektor",'LAMPIRAN I DONE'!$F$21="Lektor Kepala",'LAMPIRAN I DONE'!$F$21="Guru Besar"),1,""))))&amp;" = "&amp;K205))),"rumus")</f>
        <v>rumus</v>
      </c>
      <c r="H205" s="28" t="s">
        <v>620</v>
      </c>
      <c r="I205" s="34"/>
      <c r="J205" s="34"/>
      <c r="K205" s="27" t="str">
        <f>IF(AND(I205&lt;&gt;"",J205&lt;&gt;""),(IF(OR(AND(L205="sks&gt;10",L204="sks&lt;=10",IFERROR(SUMPRODUCT($I$199:I204,$J$199:J204)&lt;10,FALSE)),AND(L205="sks&gt;10",L204="")),(((10-SUMPRODUCT($I$199:I204,$J$199:J204))*IF('LAMPIRAN I DONE'!$F$21="Tenaga Pengajar",0.5,IF(OR('LAMPIRAN I DONE'!$F$21="Asisten Ahli",'LAMPIRAN I DONE'!$F$21="Lektor",'LAMPIRAN I DONE'!$F$21="Lektor Kepala",'LAMPIRAN I DONE'!$F$21="Guru Besar"),1,"")))+(((I205*J205)-(10-SUMPRODUCT($I$199:I204,$J$199:J204)))*IF('LAMPIRAN I DONE'!$F$21="Tenaga Pengajar",0.25,IF(OR('LAMPIRAN I DONE'!$F$21="Asisten Ahli",'LAMPIRAN I DONE'!$F$21="Lektor",'LAMPIRAN I DONE'!$F$21="Lektor Kepala",'LAMPIRAN I DONE'!$F$21="Guru Besar"),0.5,"")))),IF(OR(AND(L205="sks&gt;10",L204="sks&gt;10"),AND(L205="sks&gt;10",L204="sks&lt;=10")),I205*J205*IF('LAMPIRAN I DONE'!$F$21="Tenaga Pengajar",0.25,IF(OR('LAMPIRAN I DONE'!$F$21="Asisten Ahli",'LAMPIRAN I DONE'!$F$21="Lektor",'LAMPIRAN I DONE'!$F$21="Lektor Kepala",'LAMPIRAN I DONE'!$F$21="Guru Besar"),0.5,"")),I205*J205*IF('LAMPIRAN I DONE'!$F$21="Tenaga Pengajar",0.5,IF(OR('LAMPIRAN I DONE'!$F$21="Asisten Ahli",'LAMPIRAN I DONE'!$F$21="Lektor",'LAMPIRAN I DONE'!$F$21="Lektor Kepala",'LAMPIRAN I DONE'!$F$21="Guru Besar"),1,""))))),"rumus")</f>
        <v>rumus</v>
      </c>
      <c r="L205" s="27" t="str">
        <f>IF(AND(I205&lt;&gt;"",J205&lt;&gt;""),(IF(SUMPRODUCT($I$200:I205,$J$200:J205)&lt;=10,"SKS&lt;=10",IF(SUMPRODUCT($I$200:I205,$J$200:J205)&gt;10,"SKS&gt;10",""))),"rumus")</f>
        <v>rumus</v>
      </c>
    </row>
    <row r="206" spans="1:14" s="2" customFormat="1" ht="15" customHeight="1" x14ac:dyDescent="0.45">
      <c r="B206" s="974" t="s">
        <v>67</v>
      </c>
      <c r="C206" s="975"/>
      <c r="D206" s="976"/>
      <c r="E206" s="249"/>
      <c r="F206" s="253"/>
      <c r="G206" s="61">
        <f>SUM(M45:M206)</f>
        <v>40.5</v>
      </c>
      <c r="H206" s="39"/>
      <c r="I206" s="33"/>
      <c r="J206" s="33"/>
      <c r="M206" s="104">
        <f>IF((AND(N206="Max 5,5",SUM(K200:K205)&lt;=5.5)),SUM(K200:K205),IF((AND(N206="Max 5,5",SUM(K200:K205)&gt;5.5)),5.5,IF((AND(N206="Max 11",SUM(K200:K205)&lt;=11)),SUM(K200:K205),IF((AND(N206="Max 11",SUM(K200:K205)&gt;11)),11,""))))</f>
        <v>0</v>
      </c>
      <c r="N206" s="33" t="str">
        <f>IF('LAMPIRAN I DONE'!$F$21="Tenaga Pengajar","Max 5,5",IF(OR('LAMPIRAN I DONE'!$F$21="Asisten Ahli",'LAMPIRAN I DONE'!$F$21="Lektor",'LAMPIRAN I DONE'!$F$21="Lektor Kepala",'LAMPIRAN I DONE'!$F$21="Guru Besar"),"Max 11",""))</f>
        <v>Max 11</v>
      </c>
    </row>
    <row r="207" spans="1:14" s="2" customFormat="1" ht="15" customHeight="1" x14ac:dyDescent="0.45">
      <c r="A207" s="85" t="s">
        <v>17</v>
      </c>
      <c r="B207" s="22" t="s">
        <v>147</v>
      </c>
      <c r="C207" s="30"/>
      <c r="D207" s="30"/>
      <c r="E207" s="30"/>
      <c r="F207" s="30"/>
      <c r="G207" s="30"/>
      <c r="H207" s="54"/>
      <c r="I207" s="33"/>
      <c r="J207" s="33"/>
      <c r="M207" s="104"/>
      <c r="N207" s="33"/>
    </row>
    <row r="208" spans="1:14" ht="15" hidden="1" customHeight="1" x14ac:dyDescent="0.45">
      <c r="A208" s="67"/>
      <c r="B208" s="29" t="s">
        <v>110</v>
      </c>
      <c r="C208" s="30"/>
      <c r="D208" s="30"/>
      <c r="E208" s="30"/>
      <c r="F208" s="30"/>
      <c r="G208" s="30"/>
      <c r="H208" s="54"/>
      <c r="I208" s="35"/>
      <c r="J208" s="35"/>
      <c r="K208" s="35"/>
      <c r="L208" s="35"/>
      <c r="M208" s="88"/>
      <c r="N208" s="25"/>
    </row>
    <row r="209" spans="1:14" hidden="1" x14ac:dyDescent="0.45">
      <c r="A209" s="67">
        <v>1</v>
      </c>
      <c r="B209" s="199" t="s">
        <v>280</v>
      </c>
      <c r="C209" s="28" t="s">
        <v>144</v>
      </c>
      <c r="D209" s="28" t="str">
        <f>IF(G209&lt;&gt;"rumus","Kegiatan","")</f>
        <v/>
      </c>
      <c r="E209" s="256" t="str">
        <f t="shared" ref="E209:E220" si="31">IF(I209&lt;&gt;"",1,"")</f>
        <v/>
      </c>
      <c r="F209" s="256" t="str">
        <f t="shared" ref="F209:F220" si="32">IF(I209&lt;&gt;"",1,"")</f>
        <v/>
      </c>
      <c r="G209" s="120" t="str">
        <f>IF(I209="Membimbing seminar mahasiswa per semester","1 x 1 = 1","rumus")</f>
        <v>rumus</v>
      </c>
      <c r="H209" s="28" t="s">
        <v>620</v>
      </c>
      <c r="I209" s="131"/>
      <c r="J209" s="27" t="str">
        <f>IF(I209="Membimbing seminar mahasiswa per semester",1,"rumus")</f>
        <v>rumus</v>
      </c>
      <c r="K209" s="35"/>
      <c r="L209" s="35"/>
      <c r="M209" s="35"/>
    </row>
    <row r="210" spans="1:14" hidden="1" x14ac:dyDescent="0.45">
      <c r="A210" s="67">
        <v>2</v>
      </c>
      <c r="B210" s="199" t="s">
        <v>280</v>
      </c>
      <c r="C210" s="28" t="s">
        <v>145</v>
      </c>
      <c r="D210" s="28" t="str">
        <f t="shared" ref="D210:D233" si="33">IF(G210&lt;&gt;"rumus","Kegiatan","")</f>
        <v/>
      </c>
      <c r="E210" s="256" t="str">
        <f t="shared" si="31"/>
        <v/>
      </c>
      <c r="F210" s="256" t="str">
        <f t="shared" si="32"/>
        <v/>
      </c>
      <c r="G210" s="257" t="str">
        <f t="shared" ref="G210:G233" si="34">IF(I210="Membimbing seminar mahasiswa per semester","1 x 1 = 1","rumus")</f>
        <v>rumus</v>
      </c>
      <c r="H210" s="28" t="s">
        <v>66</v>
      </c>
      <c r="I210" s="131"/>
      <c r="J210" s="27" t="str">
        <f t="shared" ref="J210:J233" si="35">IF(I210="Membimbing seminar mahasiswa per semester",1,"rumus")</f>
        <v>rumus</v>
      </c>
      <c r="K210" s="35"/>
      <c r="L210" s="35"/>
      <c r="M210" s="35"/>
    </row>
    <row r="211" spans="1:14" hidden="1" x14ac:dyDescent="0.45">
      <c r="A211" s="67">
        <v>3</v>
      </c>
      <c r="B211" s="199" t="s">
        <v>280</v>
      </c>
      <c r="C211" s="28" t="s">
        <v>146</v>
      </c>
      <c r="D211" s="28" t="str">
        <f t="shared" si="33"/>
        <v/>
      </c>
      <c r="E211" s="256" t="str">
        <f t="shared" si="31"/>
        <v/>
      </c>
      <c r="F211" s="256" t="str">
        <f t="shared" si="32"/>
        <v/>
      </c>
      <c r="G211" s="257" t="str">
        <f t="shared" si="34"/>
        <v>rumus</v>
      </c>
      <c r="H211" s="28" t="s">
        <v>66</v>
      </c>
      <c r="I211" s="131"/>
      <c r="J211" s="27" t="str">
        <f t="shared" si="35"/>
        <v>rumus</v>
      </c>
      <c r="K211" s="35"/>
      <c r="L211" s="35"/>
      <c r="M211" s="35"/>
    </row>
    <row r="212" spans="1:14" hidden="1" x14ac:dyDescent="0.45">
      <c r="A212" s="67">
        <v>4</v>
      </c>
      <c r="B212" s="199" t="s">
        <v>280</v>
      </c>
      <c r="C212" s="28" t="s">
        <v>108</v>
      </c>
      <c r="D212" s="28" t="str">
        <f t="shared" si="33"/>
        <v/>
      </c>
      <c r="E212" s="256" t="str">
        <f t="shared" si="31"/>
        <v/>
      </c>
      <c r="F212" s="256" t="str">
        <f t="shared" si="32"/>
        <v/>
      </c>
      <c r="G212" s="257" t="str">
        <f t="shared" si="34"/>
        <v>rumus</v>
      </c>
      <c r="H212" s="28" t="s">
        <v>66</v>
      </c>
      <c r="I212" s="131"/>
      <c r="J212" s="27" t="str">
        <f t="shared" si="35"/>
        <v>rumus</v>
      </c>
      <c r="K212" s="35"/>
      <c r="L212" s="35"/>
      <c r="M212" s="35"/>
    </row>
    <row r="213" spans="1:14" hidden="1" x14ac:dyDescent="0.45">
      <c r="A213" s="67">
        <v>5</v>
      </c>
      <c r="B213" s="199" t="s">
        <v>280</v>
      </c>
      <c r="C213" s="28" t="s">
        <v>112</v>
      </c>
      <c r="D213" s="28" t="str">
        <f t="shared" si="33"/>
        <v/>
      </c>
      <c r="E213" s="256" t="str">
        <f t="shared" si="31"/>
        <v/>
      </c>
      <c r="F213" s="256" t="str">
        <f t="shared" si="32"/>
        <v/>
      </c>
      <c r="G213" s="257" t="str">
        <f t="shared" si="34"/>
        <v>rumus</v>
      </c>
      <c r="H213" s="28" t="s">
        <v>66</v>
      </c>
      <c r="I213" s="131"/>
      <c r="J213" s="27" t="str">
        <f t="shared" si="35"/>
        <v>rumus</v>
      </c>
      <c r="K213" s="35"/>
      <c r="L213" s="35"/>
      <c r="M213" s="35"/>
    </row>
    <row r="214" spans="1:14" hidden="1" x14ac:dyDescent="0.45">
      <c r="A214" s="67">
        <v>6</v>
      </c>
      <c r="B214" s="199" t="s">
        <v>280</v>
      </c>
      <c r="C214" s="28" t="s">
        <v>113</v>
      </c>
      <c r="D214" s="28" t="str">
        <f t="shared" si="33"/>
        <v/>
      </c>
      <c r="E214" s="256" t="str">
        <f t="shared" si="31"/>
        <v/>
      </c>
      <c r="F214" s="256" t="str">
        <f t="shared" si="32"/>
        <v/>
      </c>
      <c r="G214" s="257" t="str">
        <f t="shared" si="34"/>
        <v>rumus</v>
      </c>
      <c r="H214" s="28" t="s">
        <v>66</v>
      </c>
      <c r="I214" s="131"/>
      <c r="J214" s="27" t="str">
        <f t="shared" si="35"/>
        <v>rumus</v>
      </c>
      <c r="K214" s="35"/>
      <c r="L214" s="35"/>
      <c r="M214" s="35"/>
    </row>
    <row r="215" spans="1:14" hidden="1" x14ac:dyDescent="0.45">
      <c r="A215" s="67">
        <v>7</v>
      </c>
      <c r="B215" s="199" t="s">
        <v>280</v>
      </c>
      <c r="C215" s="28" t="s">
        <v>114</v>
      </c>
      <c r="D215" s="28" t="str">
        <f t="shared" si="33"/>
        <v/>
      </c>
      <c r="E215" s="256" t="str">
        <f t="shared" si="31"/>
        <v/>
      </c>
      <c r="F215" s="256" t="str">
        <f t="shared" si="32"/>
        <v/>
      </c>
      <c r="G215" s="257" t="str">
        <f t="shared" si="34"/>
        <v>rumus</v>
      </c>
      <c r="H215" s="28" t="s">
        <v>66</v>
      </c>
      <c r="I215" s="131"/>
      <c r="J215" s="27" t="str">
        <f t="shared" si="35"/>
        <v>rumus</v>
      </c>
      <c r="K215" s="35"/>
      <c r="L215" s="35"/>
      <c r="M215" s="35"/>
    </row>
    <row r="216" spans="1:14" hidden="1" x14ac:dyDescent="0.45">
      <c r="A216" s="67">
        <v>8</v>
      </c>
      <c r="B216" s="199" t="s">
        <v>280</v>
      </c>
      <c r="C216" s="28" t="s">
        <v>251</v>
      </c>
      <c r="D216" s="28" t="str">
        <f t="shared" si="33"/>
        <v/>
      </c>
      <c r="E216" s="256" t="str">
        <f t="shared" si="31"/>
        <v/>
      </c>
      <c r="F216" s="256" t="str">
        <f t="shared" si="32"/>
        <v/>
      </c>
      <c r="G216" s="257" t="str">
        <f t="shared" si="34"/>
        <v>rumus</v>
      </c>
      <c r="H216" s="28" t="s">
        <v>66</v>
      </c>
      <c r="I216" s="131"/>
      <c r="J216" s="27" t="str">
        <f t="shared" si="35"/>
        <v>rumus</v>
      </c>
      <c r="K216" s="35"/>
      <c r="L216" s="35"/>
      <c r="M216" s="35"/>
    </row>
    <row r="217" spans="1:14" hidden="1" x14ac:dyDescent="0.45">
      <c r="A217" s="67">
        <v>9</v>
      </c>
      <c r="B217" s="199" t="s">
        <v>280</v>
      </c>
      <c r="C217" s="28" t="s">
        <v>252</v>
      </c>
      <c r="D217" s="28" t="str">
        <f t="shared" si="33"/>
        <v/>
      </c>
      <c r="E217" s="256" t="str">
        <f t="shared" si="31"/>
        <v/>
      </c>
      <c r="F217" s="256" t="str">
        <f t="shared" si="32"/>
        <v/>
      </c>
      <c r="G217" s="257" t="str">
        <f t="shared" si="34"/>
        <v>rumus</v>
      </c>
      <c r="H217" s="28" t="s">
        <v>66</v>
      </c>
      <c r="I217" s="131"/>
      <c r="J217" s="27" t="str">
        <f t="shared" si="35"/>
        <v>rumus</v>
      </c>
      <c r="K217" s="35"/>
      <c r="L217" s="35"/>
      <c r="M217" s="35"/>
    </row>
    <row r="218" spans="1:14" hidden="1" x14ac:dyDescent="0.45">
      <c r="A218" s="67">
        <v>10</v>
      </c>
      <c r="B218" s="199" t="s">
        <v>280</v>
      </c>
      <c r="C218" s="28" t="s">
        <v>798</v>
      </c>
      <c r="D218" s="28" t="str">
        <f t="shared" si="33"/>
        <v/>
      </c>
      <c r="E218" s="256" t="str">
        <f t="shared" si="31"/>
        <v/>
      </c>
      <c r="F218" s="256" t="str">
        <f t="shared" si="32"/>
        <v/>
      </c>
      <c r="G218" s="257" t="str">
        <f t="shared" si="34"/>
        <v>rumus</v>
      </c>
      <c r="H218" s="28" t="s">
        <v>66</v>
      </c>
      <c r="I218" s="131"/>
      <c r="J218" s="27" t="str">
        <f t="shared" si="35"/>
        <v>rumus</v>
      </c>
      <c r="K218" s="35"/>
      <c r="L218" s="35"/>
      <c r="M218" s="35"/>
    </row>
    <row r="219" spans="1:14" hidden="1" x14ac:dyDescent="0.45">
      <c r="A219" s="67">
        <v>11</v>
      </c>
      <c r="B219" s="199" t="s">
        <v>280</v>
      </c>
      <c r="C219" s="28" t="s">
        <v>795</v>
      </c>
      <c r="D219" s="28" t="str">
        <f t="shared" si="33"/>
        <v/>
      </c>
      <c r="E219" s="256" t="str">
        <f t="shared" si="31"/>
        <v/>
      </c>
      <c r="F219" s="256" t="str">
        <f t="shared" si="32"/>
        <v/>
      </c>
      <c r="G219" s="257" t="str">
        <f t="shared" si="34"/>
        <v>rumus</v>
      </c>
      <c r="H219" s="28" t="s">
        <v>66</v>
      </c>
      <c r="I219" s="131"/>
      <c r="J219" s="27" t="str">
        <f t="shared" si="35"/>
        <v>rumus</v>
      </c>
      <c r="K219" s="35"/>
      <c r="L219" s="35"/>
      <c r="M219" s="35"/>
    </row>
    <row r="220" spans="1:14" hidden="1" x14ac:dyDescent="0.45">
      <c r="A220" s="67">
        <v>12</v>
      </c>
      <c r="B220" s="199" t="s">
        <v>280</v>
      </c>
      <c r="C220" s="28" t="s">
        <v>796</v>
      </c>
      <c r="D220" s="28" t="str">
        <f t="shared" si="33"/>
        <v/>
      </c>
      <c r="E220" s="256" t="str">
        <f t="shared" si="31"/>
        <v/>
      </c>
      <c r="F220" s="256" t="str">
        <f t="shared" si="32"/>
        <v/>
      </c>
      <c r="G220" s="257" t="str">
        <f t="shared" si="34"/>
        <v>rumus</v>
      </c>
      <c r="H220" s="28" t="s">
        <v>66</v>
      </c>
      <c r="I220" s="131"/>
      <c r="J220" s="27" t="str">
        <f t="shared" si="35"/>
        <v>rumus</v>
      </c>
      <c r="K220" s="35"/>
      <c r="L220" s="35"/>
      <c r="M220" s="35"/>
    </row>
    <row r="221" spans="1:14" hidden="1" x14ac:dyDescent="0.45">
      <c r="A221" s="67"/>
      <c r="B221" s="29" t="s">
        <v>148</v>
      </c>
      <c r="C221" s="30"/>
      <c r="D221" s="30"/>
      <c r="E221" s="30"/>
      <c r="F221" s="30"/>
      <c r="G221" s="30"/>
      <c r="H221" s="54"/>
      <c r="I221" s="35"/>
      <c r="K221" s="261">
        <f>SUM(J209:J220)</f>
        <v>0</v>
      </c>
      <c r="L221" s="35"/>
      <c r="M221" s="88"/>
      <c r="N221" s="25"/>
    </row>
    <row r="222" spans="1:14" hidden="1" x14ac:dyDescent="0.45">
      <c r="A222" s="67">
        <v>1</v>
      </c>
      <c r="B222" s="199" t="s">
        <v>280</v>
      </c>
      <c r="C222" s="28" t="s">
        <v>144</v>
      </c>
      <c r="D222" s="28" t="str">
        <f t="shared" si="33"/>
        <v/>
      </c>
      <c r="E222" s="256" t="str">
        <f t="shared" ref="E222:E232" si="36">IF(I222&lt;&gt;"",1,"")</f>
        <v/>
      </c>
      <c r="F222" s="256" t="str">
        <f t="shared" ref="F222:F232" si="37">IF(I222&lt;&gt;"",1,"")</f>
        <v/>
      </c>
      <c r="G222" s="259" t="str">
        <f t="shared" si="34"/>
        <v>rumus</v>
      </c>
      <c r="H222" s="28" t="s">
        <v>620</v>
      </c>
      <c r="I222" s="131"/>
      <c r="J222" s="27" t="str">
        <f t="shared" si="35"/>
        <v>rumus</v>
      </c>
      <c r="K222" s="35"/>
      <c r="L222" s="35"/>
      <c r="M222" s="35"/>
    </row>
    <row r="223" spans="1:14" hidden="1" x14ac:dyDescent="0.45">
      <c r="A223" s="67">
        <v>2</v>
      </c>
      <c r="B223" s="199" t="s">
        <v>280</v>
      </c>
      <c r="C223" s="28" t="s">
        <v>145</v>
      </c>
      <c r="D223" s="28" t="str">
        <f t="shared" si="33"/>
        <v/>
      </c>
      <c r="E223" s="256" t="str">
        <f t="shared" si="36"/>
        <v/>
      </c>
      <c r="F223" s="256" t="str">
        <f t="shared" si="37"/>
        <v/>
      </c>
      <c r="G223" s="259" t="str">
        <f t="shared" si="34"/>
        <v>rumus</v>
      </c>
      <c r="H223" s="28" t="s">
        <v>66</v>
      </c>
      <c r="I223" s="131"/>
      <c r="J223" s="27" t="str">
        <f t="shared" si="35"/>
        <v>rumus</v>
      </c>
      <c r="K223" s="35"/>
      <c r="L223" s="35"/>
      <c r="M223" s="35"/>
    </row>
    <row r="224" spans="1:14" hidden="1" x14ac:dyDescent="0.45">
      <c r="A224" s="67">
        <v>3</v>
      </c>
      <c r="B224" s="199" t="s">
        <v>280</v>
      </c>
      <c r="C224" s="28" t="s">
        <v>146</v>
      </c>
      <c r="D224" s="28" t="str">
        <f t="shared" si="33"/>
        <v/>
      </c>
      <c r="E224" s="256" t="str">
        <f t="shared" si="36"/>
        <v/>
      </c>
      <c r="F224" s="256" t="str">
        <f t="shared" si="37"/>
        <v/>
      </c>
      <c r="G224" s="259" t="str">
        <f t="shared" si="34"/>
        <v>rumus</v>
      </c>
      <c r="H224" s="28" t="s">
        <v>66</v>
      </c>
      <c r="I224" s="131"/>
      <c r="J224" s="27" t="str">
        <f t="shared" si="35"/>
        <v>rumus</v>
      </c>
      <c r="K224" s="35"/>
      <c r="L224" s="35"/>
      <c r="M224" s="35"/>
    </row>
    <row r="225" spans="1:13" hidden="1" x14ac:dyDescent="0.45">
      <c r="A225" s="67">
        <v>4</v>
      </c>
      <c r="B225" s="199" t="s">
        <v>280</v>
      </c>
      <c r="C225" s="28" t="s">
        <v>108</v>
      </c>
      <c r="D225" s="28" t="str">
        <f t="shared" si="33"/>
        <v/>
      </c>
      <c r="E225" s="256" t="str">
        <f t="shared" si="36"/>
        <v/>
      </c>
      <c r="F225" s="256" t="str">
        <f t="shared" si="37"/>
        <v/>
      </c>
      <c r="G225" s="259" t="str">
        <f t="shared" si="34"/>
        <v>rumus</v>
      </c>
      <c r="H225" s="28" t="s">
        <v>66</v>
      </c>
      <c r="I225" s="131"/>
      <c r="J225" s="27" t="str">
        <f t="shared" si="35"/>
        <v>rumus</v>
      </c>
      <c r="K225" s="35"/>
      <c r="L225" s="35"/>
      <c r="M225" s="35"/>
    </row>
    <row r="226" spans="1:13" hidden="1" x14ac:dyDescent="0.45">
      <c r="A226" s="67">
        <v>5</v>
      </c>
      <c r="B226" s="199" t="s">
        <v>280</v>
      </c>
      <c r="C226" s="28" t="s">
        <v>112</v>
      </c>
      <c r="D226" s="28" t="str">
        <f t="shared" si="33"/>
        <v/>
      </c>
      <c r="E226" s="256" t="str">
        <f t="shared" si="36"/>
        <v/>
      </c>
      <c r="F226" s="256" t="str">
        <f t="shared" si="37"/>
        <v/>
      </c>
      <c r="G226" s="259" t="str">
        <f t="shared" si="34"/>
        <v>rumus</v>
      </c>
      <c r="H226" s="28" t="s">
        <v>66</v>
      </c>
      <c r="I226" s="131"/>
      <c r="J226" s="27" t="str">
        <f t="shared" si="35"/>
        <v>rumus</v>
      </c>
      <c r="K226" s="35"/>
      <c r="L226" s="35"/>
      <c r="M226" s="35"/>
    </row>
    <row r="227" spans="1:13" hidden="1" x14ac:dyDescent="0.45">
      <c r="A227" s="67">
        <v>6</v>
      </c>
      <c r="B227" s="199" t="s">
        <v>280</v>
      </c>
      <c r="C227" s="28" t="s">
        <v>113</v>
      </c>
      <c r="D227" s="28" t="str">
        <f t="shared" si="33"/>
        <v/>
      </c>
      <c r="E227" s="256" t="str">
        <f t="shared" si="36"/>
        <v/>
      </c>
      <c r="F227" s="256" t="str">
        <f t="shared" si="37"/>
        <v/>
      </c>
      <c r="G227" s="259" t="str">
        <f t="shared" si="34"/>
        <v>rumus</v>
      </c>
      <c r="H227" s="28" t="s">
        <v>66</v>
      </c>
      <c r="I227" s="131"/>
      <c r="J227" s="27" t="str">
        <f t="shared" si="35"/>
        <v>rumus</v>
      </c>
      <c r="K227" s="35"/>
      <c r="L227" s="35"/>
      <c r="M227" s="35"/>
    </row>
    <row r="228" spans="1:13" hidden="1" x14ac:dyDescent="0.45">
      <c r="A228" s="67">
        <v>7</v>
      </c>
      <c r="B228" s="199" t="s">
        <v>280</v>
      </c>
      <c r="C228" s="28" t="s">
        <v>114</v>
      </c>
      <c r="D228" s="28" t="str">
        <f t="shared" si="33"/>
        <v/>
      </c>
      <c r="E228" s="256" t="str">
        <f t="shared" si="36"/>
        <v/>
      </c>
      <c r="F228" s="256" t="str">
        <f t="shared" si="37"/>
        <v/>
      </c>
      <c r="G228" s="259" t="str">
        <f t="shared" si="34"/>
        <v>rumus</v>
      </c>
      <c r="H228" s="28" t="s">
        <v>66</v>
      </c>
      <c r="I228" s="131"/>
      <c r="J228" s="27" t="str">
        <f t="shared" si="35"/>
        <v>rumus</v>
      </c>
      <c r="K228" s="35"/>
      <c r="L228" s="35"/>
      <c r="M228" s="35"/>
    </row>
    <row r="229" spans="1:13" hidden="1" x14ac:dyDescent="0.45">
      <c r="A229" s="67">
        <v>8</v>
      </c>
      <c r="B229" s="199" t="s">
        <v>280</v>
      </c>
      <c r="C229" s="28" t="s">
        <v>251</v>
      </c>
      <c r="D229" s="28" t="str">
        <f t="shared" si="33"/>
        <v/>
      </c>
      <c r="E229" s="256" t="str">
        <f t="shared" si="36"/>
        <v/>
      </c>
      <c r="F229" s="256" t="str">
        <f t="shared" si="37"/>
        <v/>
      </c>
      <c r="G229" s="259" t="str">
        <f t="shared" si="34"/>
        <v>rumus</v>
      </c>
      <c r="H229" s="28" t="s">
        <v>66</v>
      </c>
      <c r="I229" s="131"/>
      <c r="J229" s="27" t="str">
        <f t="shared" si="35"/>
        <v>rumus</v>
      </c>
      <c r="K229" s="35"/>
      <c r="L229" s="35"/>
      <c r="M229" s="35"/>
    </row>
    <row r="230" spans="1:13" hidden="1" x14ac:dyDescent="0.45">
      <c r="A230" s="67">
        <v>9</v>
      </c>
      <c r="B230" s="199" t="s">
        <v>280</v>
      </c>
      <c r="C230" s="28" t="s">
        <v>252</v>
      </c>
      <c r="D230" s="28" t="str">
        <f t="shared" si="33"/>
        <v/>
      </c>
      <c r="E230" s="256" t="str">
        <f t="shared" si="36"/>
        <v/>
      </c>
      <c r="F230" s="256" t="str">
        <f t="shared" si="37"/>
        <v/>
      </c>
      <c r="G230" s="259" t="str">
        <f t="shared" si="34"/>
        <v>rumus</v>
      </c>
      <c r="H230" s="28" t="s">
        <v>66</v>
      </c>
      <c r="I230" s="131"/>
      <c r="J230" s="27" t="str">
        <f t="shared" si="35"/>
        <v>rumus</v>
      </c>
      <c r="K230" s="35"/>
      <c r="L230" s="35"/>
      <c r="M230" s="35"/>
    </row>
    <row r="231" spans="1:13" hidden="1" x14ac:dyDescent="0.45">
      <c r="A231" s="67">
        <v>10</v>
      </c>
      <c r="B231" s="199" t="s">
        <v>280</v>
      </c>
      <c r="C231" s="28" t="s">
        <v>798</v>
      </c>
      <c r="D231" s="28" t="str">
        <f t="shared" si="33"/>
        <v/>
      </c>
      <c r="E231" s="256" t="str">
        <f t="shared" si="36"/>
        <v/>
      </c>
      <c r="F231" s="256" t="str">
        <f t="shared" si="37"/>
        <v/>
      </c>
      <c r="G231" s="259" t="str">
        <f t="shared" si="34"/>
        <v>rumus</v>
      </c>
      <c r="H231" s="28" t="s">
        <v>66</v>
      </c>
      <c r="I231" s="131"/>
      <c r="J231" s="27" t="str">
        <f t="shared" si="35"/>
        <v>rumus</v>
      </c>
      <c r="K231" s="35"/>
      <c r="L231" s="35"/>
      <c r="M231" s="35"/>
    </row>
    <row r="232" spans="1:13" hidden="1" x14ac:dyDescent="0.45">
      <c r="A232" s="67">
        <v>11</v>
      </c>
      <c r="B232" s="199" t="s">
        <v>280</v>
      </c>
      <c r="C232" s="28" t="s">
        <v>795</v>
      </c>
      <c r="D232" s="28" t="str">
        <f t="shared" si="33"/>
        <v/>
      </c>
      <c r="E232" s="256" t="str">
        <f t="shared" si="36"/>
        <v/>
      </c>
      <c r="F232" s="256" t="str">
        <f t="shared" si="37"/>
        <v/>
      </c>
      <c r="G232" s="259" t="str">
        <f t="shared" si="34"/>
        <v>rumus</v>
      </c>
      <c r="H232" s="28" t="s">
        <v>66</v>
      </c>
      <c r="I232" s="131"/>
      <c r="J232" s="27" t="str">
        <f t="shared" si="35"/>
        <v>rumus</v>
      </c>
      <c r="K232" s="35"/>
      <c r="L232" s="35"/>
      <c r="M232" s="35"/>
    </row>
    <row r="233" spans="1:13" hidden="1" x14ac:dyDescent="0.45">
      <c r="A233" s="67">
        <v>12</v>
      </c>
      <c r="B233" s="199" t="s">
        <v>280</v>
      </c>
      <c r="C233" s="28" t="s">
        <v>796</v>
      </c>
      <c r="D233" s="28" t="str">
        <f t="shared" si="33"/>
        <v/>
      </c>
      <c r="E233" s="256" t="str">
        <f>IF(I233&lt;&gt;"",1,"")</f>
        <v/>
      </c>
      <c r="F233" s="256" t="str">
        <f>IF(I233&lt;&gt;"",1,"")</f>
        <v/>
      </c>
      <c r="G233" s="259" t="str">
        <f t="shared" si="34"/>
        <v>rumus</v>
      </c>
      <c r="H233" s="28" t="s">
        <v>66</v>
      </c>
      <c r="I233" s="131"/>
      <c r="J233" s="27" t="str">
        <f t="shared" si="35"/>
        <v>rumus</v>
      </c>
      <c r="K233" s="35"/>
      <c r="L233" s="35"/>
      <c r="M233" s="35"/>
    </row>
    <row r="234" spans="1:13" x14ac:dyDescent="0.45">
      <c r="A234" s="67"/>
      <c r="B234" s="974" t="s">
        <v>67</v>
      </c>
      <c r="C234" s="975"/>
      <c r="D234" s="976"/>
      <c r="E234" s="249"/>
      <c r="F234" s="253"/>
      <c r="G234" s="61">
        <f>SUM(K210:K234)</f>
        <v>0</v>
      </c>
      <c r="H234" s="39"/>
      <c r="I234" s="35"/>
      <c r="J234" s="35"/>
      <c r="K234" s="261">
        <f>SUM(J222:J233)</f>
        <v>0</v>
      </c>
      <c r="L234" s="35"/>
      <c r="M234" s="35"/>
    </row>
    <row r="235" spans="1:13" ht="15" customHeight="1" x14ac:dyDescent="0.45">
      <c r="A235" s="85" t="s">
        <v>118</v>
      </c>
      <c r="B235" s="91" t="s">
        <v>18</v>
      </c>
      <c r="C235" s="63"/>
      <c r="D235" s="63"/>
      <c r="E235" s="63"/>
      <c r="F235" s="63"/>
      <c r="G235" s="53"/>
      <c r="H235" s="64"/>
      <c r="I235" s="35"/>
      <c r="J235" s="35"/>
      <c r="K235" s="35"/>
      <c r="L235" s="35"/>
      <c r="M235" s="35"/>
    </row>
    <row r="236" spans="1:13" ht="15" hidden="1" customHeight="1" x14ac:dyDescent="0.45">
      <c r="A236" s="67"/>
      <c r="B236" s="168" t="s">
        <v>110</v>
      </c>
      <c r="C236" s="92"/>
      <c r="D236" s="92"/>
      <c r="E236" s="92"/>
      <c r="F236" s="92"/>
      <c r="G236" s="57"/>
      <c r="H236" s="93"/>
      <c r="I236" s="35"/>
      <c r="J236" s="35"/>
      <c r="K236" s="35"/>
      <c r="L236" s="35"/>
      <c r="M236" s="35"/>
    </row>
    <row r="237" spans="1:13" hidden="1" x14ac:dyDescent="0.45">
      <c r="A237" s="67">
        <v>1</v>
      </c>
      <c r="B237" s="170"/>
      <c r="C237" s="28" t="s">
        <v>144</v>
      </c>
      <c r="D237" s="28" t="str">
        <f t="shared" ref="D237:D248" si="38">IF(G237&lt;&gt;"rumus","Kegiatan","")</f>
        <v/>
      </c>
      <c r="E237" s="256" t="str">
        <f>IF(I237&lt;&gt;"",1,"")</f>
        <v/>
      </c>
      <c r="F237" s="256" t="str">
        <f>IF(I237&lt;&gt;"",1,"")</f>
        <v/>
      </c>
      <c r="G237" s="159" t="str">
        <f t="shared" ref="G237:G248" si="39">IF(J237&lt;&gt;"rumus","1 x "&amp;J237&amp;" = "&amp;J237,"rumus")</f>
        <v>rumus</v>
      </c>
      <c r="H237" s="28" t="s">
        <v>620</v>
      </c>
      <c r="I237" s="119"/>
      <c r="J237" s="27" t="str">
        <f>IF(I237="Membimbing KKN/PKL/PKN/PKL per semester",1,"rumus")</f>
        <v>rumus</v>
      </c>
      <c r="K237" s="35"/>
      <c r="L237" s="35"/>
      <c r="M237" s="35"/>
    </row>
    <row r="238" spans="1:13" hidden="1" x14ac:dyDescent="0.45">
      <c r="A238" s="67">
        <v>2</v>
      </c>
      <c r="B238" s="199" t="s">
        <v>552</v>
      </c>
      <c r="C238" s="28" t="s">
        <v>145</v>
      </c>
      <c r="D238" s="28" t="str">
        <f t="shared" si="38"/>
        <v/>
      </c>
      <c r="E238" s="256" t="str">
        <f t="shared" ref="E238:E248" si="40">IF(I238&lt;&gt;"",1,"")</f>
        <v/>
      </c>
      <c r="F238" s="256" t="str">
        <f t="shared" ref="F238:F248" si="41">IF(I238&lt;&gt;"",1,"")</f>
        <v/>
      </c>
      <c r="G238" s="159" t="str">
        <f t="shared" si="39"/>
        <v>rumus</v>
      </c>
      <c r="H238" s="28" t="s">
        <v>66</v>
      </c>
      <c r="I238" s="119"/>
      <c r="J238" s="27" t="str">
        <f t="shared" ref="J238:J248" si="42">IF(I238="Membimbing KKN/PKL/PKN/PKL per semester",1,"rumus")</f>
        <v>rumus</v>
      </c>
      <c r="K238" s="35"/>
      <c r="L238" s="35"/>
      <c r="M238" s="35"/>
    </row>
    <row r="239" spans="1:13" hidden="1" x14ac:dyDescent="0.45">
      <c r="A239" s="67">
        <v>3</v>
      </c>
      <c r="B239" s="199" t="s">
        <v>552</v>
      </c>
      <c r="C239" s="28" t="s">
        <v>146</v>
      </c>
      <c r="D239" s="28" t="str">
        <f t="shared" si="38"/>
        <v/>
      </c>
      <c r="E239" s="256" t="str">
        <f t="shared" si="40"/>
        <v/>
      </c>
      <c r="F239" s="256" t="str">
        <f t="shared" si="41"/>
        <v/>
      </c>
      <c r="G239" s="159" t="str">
        <f t="shared" si="39"/>
        <v>rumus</v>
      </c>
      <c r="H239" s="28" t="s">
        <v>66</v>
      </c>
      <c r="I239" s="119"/>
      <c r="J239" s="27" t="str">
        <f t="shared" si="42"/>
        <v>rumus</v>
      </c>
      <c r="K239" s="35"/>
      <c r="L239" s="35"/>
      <c r="M239" s="35"/>
    </row>
    <row r="240" spans="1:13" hidden="1" x14ac:dyDescent="0.45">
      <c r="A240" s="67">
        <v>4</v>
      </c>
      <c r="B240" s="199" t="s">
        <v>552</v>
      </c>
      <c r="C240" s="28" t="s">
        <v>108</v>
      </c>
      <c r="D240" s="28" t="str">
        <f t="shared" si="38"/>
        <v/>
      </c>
      <c r="E240" s="256" t="str">
        <f t="shared" si="40"/>
        <v/>
      </c>
      <c r="F240" s="256" t="str">
        <f t="shared" si="41"/>
        <v/>
      </c>
      <c r="G240" s="159" t="str">
        <f t="shared" si="39"/>
        <v>rumus</v>
      </c>
      <c r="H240" s="28" t="s">
        <v>66</v>
      </c>
      <c r="I240" s="119"/>
      <c r="J240" s="27" t="str">
        <f t="shared" si="42"/>
        <v>rumus</v>
      </c>
      <c r="K240" s="35"/>
      <c r="L240" s="35"/>
      <c r="M240" s="35"/>
    </row>
    <row r="241" spans="1:13" hidden="1" x14ac:dyDescent="0.45">
      <c r="A241" s="67">
        <v>5</v>
      </c>
      <c r="B241" s="199" t="s">
        <v>552</v>
      </c>
      <c r="C241" s="28" t="s">
        <v>112</v>
      </c>
      <c r="D241" s="28" t="str">
        <f t="shared" si="38"/>
        <v/>
      </c>
      <c r="E241" s="256" t="str">
        <f t="shared" si="40"/>
        <v/>
      </c>
      <c r="F241" s="256" t="str">
        <f t="shared" si="41"/>
        <v/>
      </c>
      <c r="G241" s="159" t="str">
        <f t="shared" si="39"/>
        <v>rumus</v>
      </c>
      <c r="H241" s="28" t="s">
        <v>66</v>
      </c>
      <c r="I241" s="119"/>
      <c r="J241" s="27" t="str">
        <f t="shared" si="42"/>
        <v>rumus</v>
      </c>
      <c r="K241" s="35"/>
      <c r="L241" s="35"/>
      <c r="M241" s="35"/>
    </row>
    <row r="242" spans="1:13" hidden="1" x14ac:dyDescent="0.45">
      <c r="A242" s="67">
        <v>6</v>
      </c>
      <c r="B242" s="199" t="s">
        <v>552</v>
      </c>
      <c r="C242" s="28" t="s">
        <v>113</v>
      </c>
      <c r="D242" s="28" t="str">
        <f t="shared" si="38"/>
        <v/>
      </c>
      <c r="E242" s="256" t="str">
        <f t="shared" si="40"/>
        <v/>
      </c>
      <c r="F242" s="256" t="str">
        <f t="shared" si="41"/>
        <v/>
      </c>
      <c r="G242" s="159" t="str">
        <f t="shared" si="39"/>
        <v>rumus</v>
      </c>
      <c r="H242" s="28" t="s">
        <v>66</v>
      </c>
      <c r="I242" s="119"/>
      <c r="J242" s="27" t="str">
        <f t="shared" si="42"/>
        <v>rumus</v>
      </c>
      <c r="K242" s="35"/>
      <c r="L242" s="35"/>
      <c r="M242" s="35"/>
    </row>
    <row r="243" spans="1:13" hidden="1" x14ac:dyDescent="0.45">
      <c r="A243" s="67">
        <v>7</v>
      </c>
      <c r="B243" s="199" t="s">
        <v>552</v>
      </c>
      <c r="C243" s="28" t="s">
        <v>114</v>
      </c>
      <c r="D243" s="28" t="str">
        <f t="shared" si="38"/>
        <v/>
      </c>
      <c r="E243" s="256" t="str">
        <f t="shared" si="40"/>
        <v/>
      </c>
      <c r="F243" s="256" t="str">
        <f t="shared" si="41"/>
        <v/>
      </c>
      <c r="G243" s="159" t="str">
        <f t="shared" si="39"/>
        <v>rumus</v>
      </c>
      <c r="H243" s="28" t="s">
        <v>66</v>
      </c>
      <c r="I243" s="119"/>
      <c r="J243" s="27" t="str">
        <f t="shared" si="42"/>
        <v>rumus</v>
      </c>
      <c r="K243" s="35"/>
      <c r="L243" s="35"/>
      <c r="M243" s="35"/>
    </row>
    <row r="244" spans="1:13" hidden="1" x14ac:dyDescent="0.45">
      <c r="A244" s="67">
        <v>8</v>
      </c>
      <c r="B244" s="199" t="s">
        <v>552</v>
      </c>
      <c r="C244" s="28" t="s">
        <v>251</v>
      </c>
      <c r="D244" s="28" t="str">
        <f t="shared" si="38"/>
        <v/>
      </c>
      <c r="E244" s="256" t="str">
        <f t="shared" si="40"/>
        <v/>
      </c>
      <c r="F244" s="256" t="str">
        <f t="shared" si="41"/>
        <v/>
      </c>
      <c r="G244" s="159" t="str">
        <f t="shared" si="39"/>
        <v>rumus</v>
      </c>
      <c r="H244" s="28" t="s">
        <v>66</v>
      </c>
      <c r="I244" s="119"/>
      <c r="J244" s="27" t="str">
        <f t="shared" si="42"/>
        <v>rumus</v>
      </c>
      <c r="K244" s="35"/>
      <c r="L244" s="35"/>
      <c r="M244" s="35"/>
    </row>
    <row r="245" spans="1:13" hidden="1" x14ac:dyDescent="0.45">
      <c r="A245" s="67">
        <v>9</v>
      </c>
      <c r="B245" s="199" t="s">
        <v>552</v>
      </c>
      <c r="C245" s="28" t="s">
        <v>252</v>
      </c>
      <c r="D245" s="28" t="str">
        <f t="shared" si="38"/>
        <v/>
      </c>
      <c r="E245" s="256" t="str">
        <f t="shared" si="40"/>
        <v/>
      </c>
      <c r="F245" s="256" t="str">
        <f t="shared" si="41"/>
        <v/>
      </c>
      <c r="G245" s="159" t="str">
        <f t="shared" si="39"/>
        <v>rumus</v>
      </c>
      <c r="H245" s="28" t="s">
        <v>66</v>
      </c>
      <c r="I245" s="119"/>
      <c r="J245" s="27" t="str">
        <f t="shared" si="42"/>
        <v>rumus</v>
      </c>
      <c r="K245" s="35"/>
      <c r="L245" s="35"/>
      <c r="M245" s="35"/>
    </row>
    <row r="246" spans="1:13" hidden="1" x14ac:dyDescent="0.45">
      <c r="A246" s="67">
        <v>10</v>
      </c>
      <c r="B246" s="199" t="s">
        <v>552</v>
      </c>
      <c r="C246" s="28" t="s">
        <v>798</v>
      </c>
      <c r="D246" s="28" t="str">
        <f t="shared" si="38"/>
        <v/>
      </c>
      <c r="E246" s="256" t="str">
        <f t="shared" si="40"/>
        <v/>
      </c>
      <c r="F246" s="256" t="str">
        <f t="shared" si="41"/>
        <v/>
      </c>
      <c r="G246" s="159" t="str">
        <f t="shared" si="39"/>
        <v>rumus</v>
      </c>
      <c r="H246" s="28" t="s">
        <v>66</v>
      </c>
      <c r="I246" s="119"/>
      <c r="J246" s="27" t="str">
        <f t="shared" si="42"/>
        <v>rumus</v>
      </c>
      <c r="K246" s="35"/>
      <c r="L246" s="35"/>
      <c r="M246" s="35"/>
    </row>
    <row r="247" spans="1:13" hidden="1" x14ac:dyDescent="0.45">
      <c r="A247" s="67">
        <v>11</v>
      </c>
      <c r="B247" s="199" t="s">
        <v>552</v>
      </c>
      <c r="C247" s="28" t="s">
        <v>795</v>
      </c>
      <c r="D247" s="28" t="str">
        <f t="shared" si="38"/>
        <v/>
      </c>
      <c r="E247" s="256" t="str">
        <f t="shared" si="40"/>
        <v/>
      </c>
      <c r="F247" s="256" t="str">
        <f t="shared" si="41"/>
        <v/>
      </c>
      <c r="G247" s="159" t="str">
        <f t="shared" si="39"/>
        <v>rumus</v>
      </c>
      <c r="H247" s="28" t="s">
        <v>66</v>
      </c>
      <c r="I247" s="119"/>
      <c r="J247" s="27" t="str">
        <f t="shared" si="42"/>
        <v>rumus</v>
      </c>
      <c r="K247" s="35"/>
      <c r="L247" s="35"/>
      <c r="M247" s="35"/>
    </row>
    <row r="248" spans="1:13" hidden="1" x14ac:dyDescent="0.45">
      <c r="A248" s="67">
        <v>12</v>
      </c>
      <c r="B248" s="199" t="s">
        <v>552</v>
      </c>
      <c r="C248" s="28" t="s">
        <v>796</v>
      </c>
      <c r="D248" s="28" t="str">
        <f t="shared" si="38"/>
        <v/>
      </c>
      <c r="E248" s="256" t="str">
        <f t="shared" si="40"/>
        <v/>
      </c>
      <c r="F248" s="256" t="str">
        <f t="shared" si="41"/>
        <v/>
      </c>
      <c r="G248" s="159" t="str">
        <f t="shared" si="39"/>
        <v>rumus</v>
      </c>
      <c r="H248" s="28" t="s">
        <v>66</v>
      </c>
      <c r="I248" s="119"/>
      <c r="J248" s="27" t="str">
        <f t="shared" si="42"/>
        <v>rumus</v>
      </c>
      <c r="K248" s="35"/>
      <c r="L248" s="35"/>
      <c r="M248" s="35"/>
    </row>
    <row r="249" spans="1:13" ht="15" customHeight="1" x14ac:dyDescent="0.45">
      <c r="A249" s="67"/>
      <c r="B249" s="168" t="s">
        <v>253</v>
      </c>
      <c r="C249" s="92"/>
      <c r="D249" s="30"/>
      <c r="E249" s="30"/>
      <c r="F249" s="30"/>
      <c r="G249" s="57"/>
      <c r="H249" s="93"/>
      <c r="I249" s="35"/>
      <c r="J249" s="35"/>
      <c r="K249" s="261">
        <f>SUM(J237:J248)</f>
        <v>0</v>
      </c>
      <c r="L249" s="35"/>
    </row>
    <row r="250" spans="1:13" s="140" customFormat="1" hidden="1" x14ac:dyDescent="0.45">
      <c r="A250" s="171">
        <v>1</v>
      </c>
      <c r="B250" s="199" t="s">
        <v>552</v>
      </c>
      <c r="C250" s="28" t="s">
        <v>144</v>
      </c>
      <c r="D250" s="28" t="str">
        <f t="shared" ref="D250" si="43">IF(G250&lt;&gt;"rumus","Kegiatan","")</f>
        <v/>
      </c>
      <c r="E250" s="256" t="str">
        <f>IF(I250&lt;&gt;"",1,"")</f>
        <v/>
      </c>
      <c r="F250" s="256" t="str">
        <f>IF(I250&lt;&gt;"",1,"")</f>
        <v/>
      </c>
      <c r="G250" s="159" t="str">
        <f>IF(J250&lt;&gt;"rumus","1 x "&amp;J250&amp;" = "&amp;J250,"rumus")</f>
        <v>rumus</v>
      </c>
      <c r="H250" s="28" t="s">
        <v>620</v>
      </c>
      <c r="I250" s="119"/>
      <c r="J250" s="27" t="str">
        <f>IF(I250="Membimbing KKN/PKL/PKN/PKL per semester",1,"rumus")</f>
        <v>rumus</v>
      </c>
      <c r="K250" s="175"/>
      <c r="L250" s="175"/>
      <c r="M250" s="175"/>
    </row>
    <row r="251" spans="1:13" hidden="1" x14ac:dyDescent="0.45">
      <c r="A251" s="67">
        <v>2</v>
      </c>
      <c r="B251" s="199" t="s">
        <v>552</v>
      </c>
      <c r="C251" s="28" t="s">
        <v>145</v>
      </c>
      <c r="D251" s="28" t="str">
        <f t="shared" ref="D251:D261" si="44">IF(G251&lt;&gt;"rumus","Kegiatan","")</f>
        <v/>
      </c>
      <c r="E251" s="256" t="str">
        <f t="shared" ref="E251:E261" si="45">IF(I251&lt;&gt;"",1,"")</f>
        <v/>
      </c>
      <c r="F251" s="256" t="str">
        <f t="shared" ref="F251:F261" si="46">IF(I251&lt;&gt;"",1,"")</f>
        <v/>
      </c>
      <c r="G251" s="159" t="str">
        <f t="shared" ref="G251:G261" si="47">IF(J251&lt;&gt;"rumus","1 x "&amp;J251&amp;" = "&amp;J251,"rumus")</f>
        <v>rumus</v>
      </c>
      <c r="H251" s="28" t="s">
        <v>66</v>
      </c>
      <c r="I251" s="119"/>
      <c r="J251" s="27" t="str">
        <f t="shared" ref="J251:J261" si="48">IF(I251="Membimbing KKN/PKL/PKN/PKL per semester",1,"rumus")</f>
        <v>rumus</v>
      </c>
      <c r="K251" s="35"/>
      <c r="L251" s="35"/>
      <c r="M251" s="35"/>
    </row>
    <row r="252" spans="1:13" hidden="1" x14ac:dyDescent="0.45">
      <c r="A252" s="171">
        <v>3</v>
      </c>
      <c r="B252" s="199" t="s">
        <v>552</v>
      </c>
      <c r="C252" s="28" t="s">
        <v>146</v>
      </c>
      <c r="D252" s="28" t="str">
        <f t="shared" si="44"/>
        <v/>
      </c>
      <c r="E252" s="256" t="str">
        <f t="shared" si="45"/>
        <v/>
      </c>
      <c r="F252" s="256" t="str">
        <f t="shared" si="46"/>
        <v/>
      </c>
      <c r="G252" s="159" t="str">
        <f t="shared" si="47"/>
        <v>rumus</v>
      </c>
      <c r="H252" s="28" t="s">
        <v>66</v>
      </c>
      <c r="I252" s="119"/>
      <c r="J252" s="27" t="str">
        <f t="shared" si="48"/>
        <v>rumus</v>
      </c>
      <c r="K252" s="35"/>
      <c r="L252" s="35"/>
      <c r="M252" s="35"/>
    </row>
    <row r="253" spans="1:13" s="140" customFormat="1" hidden="1" x14ac:dyDescent="0.45">
      <c r="A253" s="67">
        <v>4</v>
      </c>
      <c r="B253" s="199" t="s">
        <v>552</v>
      </c>
      <c r="C253" s="28" t="s">
        <v>108</v>
      </c>
      <c r="D253" s="28" t="str">
        <f t="shared" si="44"/>
        <v/>
      </c>
      <c r="E253" s="256" t="str">
        <f t="shared" si="45"/>
        <v/>
      </c>
      <c r="F253" s="256" t="str">
        <f t="shared" si="46"/>
        <v/>
      </c>
      <c r="G253" s="159" t="str">
        <f t="shared" si="47"/>
        <v>rumus</v>
      </c>
      <c r="H253" s="28" t="s">
        <v>66</v>
      </c>
      <c r="I253" s="119"/>
      <c r="J253" s="27" t="str">
        <f t="shared" si="48"/>
        <v>rumus</v>
      </c>
      <c r="K253" s="175"/>
      <c r="L253" s="175"/>
      <c r="M253" s="175"/>
    </row>
    <row r="254" spans="1:13" s="140" customFormat="1" hidden="1" x14ac:dyDescent="0.45">
      <c r="A254" s="171">
        <v>5</v>
      </c>
      <c r="B254" s="199" t="s">
        <v>552</v>
      </c>
      <c r="C254" s="28" t="s">
        <v>112</v>
      </c>
      <c r="D254" s="28" t="str">
        <f t="shared" si="44"/>
        <v/>
      </c>
      <c r="E254" s="256" t="str">
        <f t="shared" si="45"/>
        <v/>
      </c>
      <c r="F254" s="256" t="str">
        <f t="shared" si="46"/>
        <v/>
      </c>
      <c r="G254" s="159" t="str">
        <f t="shared" si="47"/>
        <v>rumus</v>
      </c>
      <c r="H254" s="28" t="s">
        <v>66</v>
      </c>
      <c r="I254" s="119"/>
      <c r="J254" s="27" t="str">
        <f t="shared" si="48"/>
        <v>rumus</v>
      </c>
      <c r="K254" s="175"/>
      <c r="L254" s="175"/>
      <c r="M254" s="175"/>
    </row>
    <row r="255" spans="1:13" s="140" customFormat="1" hidden="1" x14ac:dyDescent="0.45">
      <c r="A255" s="67">
        <v>6</v>
      </c>
      <c r="B255" s="199" t="s">
        <v>552</v>
      </c>
      <c r="C255" s="28" t="s">
        <v>113</v>
      </c>
      <c r="D255" s="28" t="str">
        <f t="shared" si="44"/>
        <v/>
      </c>
      <c r="E255" s="256" t="str">
        <f t="shared" si="45"/>
        <v/>
      </c>
      <c r="F255" s="256" t="str">
        <f t="shared" si="46"/>
        <v/>
      </c>
      <c r="G255" s="159" t="str">
        <f t="shared" si="47"/>
        <v>rumus</v>
      </c>
      <c r="H255" s="28" t="s">
        <v>66</v>
      </c>
      <c r="I255" s="119"/>
      <c r="J255" s="27" t="str">
        <f t="shared" si="48"/>
        <v>rumus</v>
      </c>
      <c r="K255" s="175"/>
      <c r="L255" s="175"/>
      <c r="M255" s="175"/>
    </row>
    <row r="256" spans="1:13" s="140" customFormat="1" hidden="1" x14ac:dyDescent="0.45">
      <c r="A256" s="171">
        <v>7</v>
      </c>
      <c r="B256" s="199" t="s">
        <v>552</v>
      </c>
      <c r="C256" s="28" t="s">
        <v>114</v>
      </c>
      <c r="D256" s="28" t="str">
        <f t="shared" si="44"/>
        <v/>
      </c>
      <c r="E256" s="256" t="str">
        <f t="shared" si="45"/>
        <v/>
      </c>
      <c r="F256" s="256" t="str">
        <f t="shared" si="46"/>
        <v/>
      </c>
      <c r="G256" s="159" t="str">
        <f t="shared" si="47"/>
        <v>rumus</v>
      </c>
      <c r="H256" s="28" t="s">
        <v>66</v>
      </c>
      <c r="I256" s="119"/>
      <c r="J256" s="27" t="str">
        <f t="shared" si="48"/>
        <v>rumus</v>
      </c>
      <c r="K256" s="175"/>
      <c r="L256" s="175"/>
      <c r="M256" s="175"/>
    </row>
    <row r="257" spans="1:13" s="140" customFormat="1" hidden="1" x14ac:dyDescent="0.45">
      <c r="A257" s="67">
        <v>8</v>
      </c>
      <c r="B257" s="199" t="s">
        <v>552</v>
      </c>
      <c r="C257" s="28" t="s">
        <v>251</v>
      </c>
      <c r="D257" s="28" t="str">
        <f t="shared" si="44"/>
        <v/>
      </c>
      <c r="E257" s="256" t="str">
        <f t="shared" si="45"/>
        <v/>
      </c>
      <c r="F257" s="256" t="str">
        <f t="shared" si="46"/>
        <v/>
      </c>
      <c r="G257" s="159" t="str">
        <f t="shared" si="47"/>
        <v>rumus</v>
      </c>
      <c r="H257" s="28" t="s">
        <v>66</v>
      </c>
      <c r="I257" s="119"/>
      <c r="J257" s="27" t="str">
        <f t="shared" si="48"/>
        <v>rumus</v>
      </c>
      <c r="K257" s="175"/>
      <c r="L257" s="175"/>
      <c r="M257" s="175"/>
    </row>
    <row r="258" spans="1:13" s="140" customFormat="1" ht="26.25" x14ac:dyDescent="0.45">
      <c r="A258" s="171">
        <v>1</v>
      </c>
      <c r="B258" s="823" t="s">
        <v>882</v>
      </c>
      <c r="C258" s="28" t="s">
        <v>252</v>
      </c>
      <c r="D258" s="28" t="str">
        <f t="shared" si="44"/>
        <v>Kegiatan</v>
      </c>
      <c r="E258" s="256">
        <f t="shared" si="45"/>
        <v>1</v>
      </c>
      <c r="F258" s="256">
        <f t="shared" si="46"/>
        <v>1</v>
      </c>
      <c r="G258" s="159" t="str">
        <f t="shared" si="47"/>
        <v>1 x 1 = 1</v>
      </c>
      <c r="H258" s="820" t="s">
        <v>886</v>
      </c>
      <c r="I258" s="119" t="s">
        <v>887</v>
      </c>
      <c r="J258" s="27">
        <f t="shared" si="48"/>
        <v>1</v>
      </c>
      <c r="K258" s="175"/>
      <c r="L258" s="175"/>
      <c r="M258" s="175"/>
    </row>
    <row r="259" spans="1:13" hidden="1" x14ac:dyDescent="0.45">
      <c r="A259" s="67">
        <v>10</v>
      </c>
      <c r="B259" s="199" t="s">
        <v>552</v>
      </c>
      <c r="C259" s="28" t="s">
        <v>798</v>
      </c>
      <c r="D259" s="28" t="str">
        <f t="shared" si="44"/>
        <v/>
      </c>
      <c r="E259" s="256" t="str">
        <f t="shared" si="45"/>
        <v/>
      </c>
      <c r="F259" s="256" t="str">
        <f t="shared" si="46"/>
        <v/>
      </c>
      <c r="G259" s="159" t="str">
        <f t="shared" si="47"/>
        <v>rumus</v>
      </c>
      <c r="H259" s="28" t="s">
        <v>66</v>
      </c>
      <c r="I259" s="119"/>
      <c r="J259" s="27" t="str">
        <f t="shared" si="48"/>
        <v>rumus</v>
      </c>
      <c r="K259" s="35"/>
      <c r="L259" s="35"/>
      <c r="M259" s="35"/>
    </row>
    <row r="260" spans="1:13" hidden="1" x14ac:dyDescent="0.45">
      <c r="A260" s="171">
        <v>11</v>
      </c>
      <c r="B260" s="199" t="s">
        <v>552</v>
      </c>
      <c r="C260" s="28" t="s">
        <v>795</v>
      </c>
      <c r="D260" s="28" t="str">
        <f t="shared" si="44"/>
        <v/>
      </c>
      <c r="E260" s="256" t="str">
        <f t="shared" si="45"/>
        <v/>
      </c>
      <c r="F260" s="256" t="str">
        <f t="shared" si="46"/>
        <v/>
      </c>
      <c r="G260" s="159" t="str">
        <f t="shared" si="47"/>
        <v>rumus</v>
      </c>
      <c r="H260" s="28" t="s">
        <v>66</v>
      </c>
      <c r="I260" s="119"/>
      <c r="J260" s="27" t="str">
        <f t="shared" si="48"/>
        <v>rumus</v>
      </c>
      <c r="K260" s="35"/>
      <c r="L260" s="35"/>
      <c r="M260" s="35"/>
    </row>
    <row r="261" spans="1:13" hidden="1" x14ac:dyDescent="0.45">
      <c r="A261" s="67">
        <v>12</v>
      </c>
      <c r="B261" s="199" t="s">
        <v>552</v>
      </c>
      <c r="C261" s="28" t="s">
        <v>796</v>
      </c>
      <c r="D261" s="28" t="str">
        <f t="shared" si="44"/>
        <v/>
      </c>
      <c r="E261" s="256" t="str">
        <f t="shared" si="45"/>
        <v/>
      </c>
      <c r="F261" s="256" t="str">
        <f t="shared" si="46"/>
        <v/>
      </c>
      <c r="G261" s="159" t="str">
        <f t="shared" si="47"/>
        <v>rumus</v>
      </c>
      <c r="H261" s="28" t="s">
        <v>66</v>
      </c>
      <c r="I261" s="119"/>
      <c r="J261" s="27" t="str">
        <f t="shared" si="48"/>
        <v>rumus</v>
      </c>
      <c r="K261" s="35"/>
      <c r="L261" s="35"/>
      <c r="M261" s="35"/>
    </row>
    <row r="262" spans="1:13" x14ac:dyDescent="0.45">
      <c r="A262" s="67"/>
      <c r="B262" s="977" t="s">
        <v>67</v>
      </c>
      <c r="C262" s="978"/>
      <c r="D262" s="979"/>
      <c r="E262" s="247"/>
      <c r="F262" s="250"/>
      <c r="G262" s="61">
        <f>SUM(K239:K262)</f>
        <v>1</v>
      </c>
      <c r="H262" s="42"/>
      <c r="I262" s="35"/>
      <c r="J262" s="35"/>
      <c r="K262" s="261">
        <f>SUM(J250:J261)</f>
        <v>1</v>
      </c>
      <c r="L262" s="35"/>
      <c r="M262" s="35"/>
    </row>
    <row r="263" spans="1:13" ht="15" customHeight="1" x14ac:dyDescent="0.45">
      <c r="A263" s="85" t="s">
        <v>119</v>
      </c>
      <c r="B263" s="22" t="s">
        <v>127</v>
      </c>
      <c r="C263" s="30"/>
      <c r="D263" s="30"/>
      <c r="E263" s="30"/>
      <c r="F263" s="30"/>
      <c r="G263" s="30"/>
      <c r="H263" s="54"/>
      <c r="I263" s="35"/>
      <c r="J263" s="35"/>
      <c r="K263" s="35"/>
      <c r="L263" s="35"/>
      <c r="M263" s="35"/>
    </row>
    <row r="264" spans="1:13" ht="15" hidden="1" customHeight="1" x14ac:dyDescent="0.45">
      <c r="A264" s="67"/>
      <c r="B264" s="168" t="str">
        <f>"a. Semester Gasal "&amp;IF(C265&lt;&gt;"",C265,"")&amp;" :"</f>
        <v>a. Semester Gasal 2006/2007 :</v>
      </c>
      <c r="C264" s="57"/>
      <c r="D264" s="57"/>
      <c r="E264" s="57"/>
      <c r="F264" s="57"/>
      <c r="G264" s="57"/>
      <c r="H264" s="58"/>
      <c r="I264" s="35"/>
      <c r="J264" s="35"/>
      <c r="K264" s="35"/>
      <c r="L264" s="35"/>
      <c r="M264" s="35"/>
    </row>
    <row r="265" spans="1:13" ht="15" hidden="1" customHeight="1" x14ac:dyDescent="0.45">
      <c r="A265" s="67">
        <v>1</v>
      </c>
      <c r="B265" s="163" t="s">
        <v>97</v>
      </c>
      <c r="C265" s="28" t="s">
        <v>143</v>
      </c>
      <c r="D265" s="28" t="str">
        <f>IF(G265&lt;&gt;"rumus","Lulusan","")</f>
        <v/>
      </c>
      <c r="E265" s="256" t="str">
        <f t="shared" ref="E265" si="49">IF(I265&lt;&gt;"",1,"")</f>
        <v/>
      </c>
      <c r="F265" s="256" t="str">
        <f>IF(I265&lt;&gt;"",K265,"")</f>
        <v/>
      </c>
      <c r="G265" s="159" t="str">
        <f>IF(K265&lt;&gt;"rumus","1 x "&amp;K265&amp;" = "&amp;K265,"rumus")</f>
        <v>rumus</v>
      </c>
      <c r="H265" s="28" t="s">
        <v>620</v>
      </c>
      <c r="I265" s="36"/>
      <c r="J265" s="36"/>
      <c r="K265" s="37" t="str">
        <f t="shared" ref="K265:K274" si="50">IF(AND(I265&lt;&gt;"",J265&lt;&gt;""),IF(I265="Pembimbing Utama",IF(J265="Disertasi",8,IF(J265="Tesis",3,IF(J265="Skripsi",1,IF(J265="Laporan akhir studi",1,"")))),IF(I265="Pembimbing Pendamping",IF(J265="Disertasi",6,IF(J265="Tesis",2,IF(J265="Skripsi",0.5,IF(J265="Laporan akhir studi",0.5,"")))))),"rumus")</f>
        <v>rumus</v>
      </c>
      <c r="L265" s="115" t="str">
        <f t="shared" ref="L265:L274" si="51">I265&amp;" "&amp;J265</f>
        <v xml:space="preserve"> </v>
      </c>
      <c r="M265" s="35"/>
    </row>
    <row r="266" spans="1:13" ht="15" hidden="1" customHeight="1" x14ac:dyDescent="0.45">
      <c r="A266" s="67">
        <v>2</v>
      </c>
      <c r="B266" s="163" t="s">
        <v>97</v>
      </c>
      <c r="C266" s="28" t="s">
        <v>143</v>
      </c>
      <c r="D266" s="28" t="str">
        <f t="shared" ref="D266:D274" si="52">IF(G266&lt;&gt;"rumus","Lulusan","")</f>
        <v/>
      </c>
      <c r="E266" s="256" t="str">
        <f t="shared" ref="E266:E274" si="53">IF(I266&lt;&gt;"",1,"")</f>
        <v/>
      </c>
      <c r="F266" s="256" t="str">
        <f t="shared" ref="F266:F274" si="54">IF(I266&lt;&gt;"",K266,"")</f>
        <v/>
      </c>
      <c r="G266" s="159" t="str">
        <f t="shared" ref="G266:G274" si="55">IF(K266&lt;&gt;"rumus","1 x "&amp;K266&amp;" = "&amp;K266,"rumus")</f>
        <v>rumus</v>
      </c>
      <c r="H266" s="39" t="s">
        <v>66</v>
      </c>
      <c r="I266" s="36"/>
      <c r="J266" s="36"/>
      <c r="K266" s="37" t="str">
        <f t="shared" si="50"/>
        <v>rumus</v>
      </c>
      <c r="L266" s="115" t="str">
        <f t="shared" si="51"/>
        <v xml:space="preserve"> </v>
      </c>
      <c r="M266" s="35"/>
    </row>
    <row r="267" spans="1:13" ht="15" hidden="1" customHeight="1" x14ac:dyDescent="0.45">
      <c r="A267" s="67">
        <v>3</v>
      </c>
      <c r="B267" s="163" t="s">
        <v>97</v>
      </c>
      <c r="C267" s="28" t="s">
        <v>143</v>
      </c>
      <c r="D267" s="28" t="str">
        <f t="shared" si="52"/>
        <v/>
      </c>
      <c r="E267" s="256" t="str">
        <f t="shared" si="53"/>
        <v/>
      </c>
      <c r="F267" s="256" t="str">
        <f t="shared" si="54"/>
        <v/>
      </c>
      <c r="G267" s="159" t="str">
        <f t="shared" si="55"/>
        <v>rumus</v>
      </c>
      <c r="H267" s="39" t="s">
        <v>66</v>
      </c>
      <c r="I267" s="36"/>
      <c r="J267" s="36"/>
      <c r="K267" s="37" t="str">
        <f t="shared" si="50"/>
        <v>rumus</v>
      </c>
      <c r="L267" s="115" t="str">
        <f t="shared" si="51"/>
        <v xml:space="preserve"> </v>
      </c>
      <c r="M267" s="35"/>
    </row>
    <row r="268" spans="1:13" ht="15" hidden="1" customHeight="1" x14ac:dyDescent="0.45">
      <c r="A268" s="67">
        <v>4</v>
      </c>
      <c r="B268" s="163" t="s">
        <v>97</v>
      </c>
      <c r="C268" s="28" t="s">
        <v>143</v>
      </c>
      <c r="D268" s="28" t="str">
        <f t="shared" si="52"/>
        <v/>
      </c>
      <c r="E268" s="256" t="str">
        <f t="shared" si="53"/>
        <v/>
      </c>
      <c r="F268" s="256" t="str">
        <f t="shared" si="54"/>
        <v/>
      </c>
      <c r="G268" s="159" t="str">
        <f t="shared" si="55"/>
        <v>rumus</v>
      </c>
      <c r="H268" s="39" t="s">
        <v>66</v>
      </c>
      <c r="I268" s="36"/>
      <c r="J268" s="36"/>
      <c r="K268" s="37" t="str">
        <f t="shared" si="50"/>
        <v>rumus</v>
      </c>
      <c r="L268" s="115" t="str">
        <f t="shared" si="51"/>
        <v xml:space="preserve"> </v>
      </c>
      <c r="M268" s="35"/>
    </row>
    <row r="269" spans="1:13" ht="15" hidden="1" customHeight="1" x14ac:dyDescent="0.45">
      <c r="A269" s="67">
        <v>5</v>
      </c>
      <c r="B269" s="163" t="s">
        <v>97</v>
      </c>
      <c r="C269" s="28" t="s">
        <v>143</v>
      </c>
      <c r="D269" s="28" t="str">
        <f t="shared" si="52"/>
        <v/>
      </c>
      <c r="E269" s="256" t="str">
        <f t="shared" si="53"/>
        <v/>
      </c>
      <c r="F269" s="256" t="str">
        <f t="shared" si="54"/>
        <v/>
      </c>
      <c r="G269" s="159" t="str">
        <f t="shared" si="55"/>
        <v>rumus</v>
      </c>
      <c r="H269" s="39" t="s">
        <v>66</v>
      </c>
      <c r="I269" s="36"/>
      <c r="J269" s="36"/>
      <c r="K269" s="37" t="str">
        <f t="shared" si="50"/>
        <v>rumus</v>
      </c>
      <c r="L269" s="115" t="str">
        <f t="shared" si="51"/>
        <v xml:space="preserve"> </v>
      </c>
      <c r="M269" s="35"/>
    </row>
    <row r="270" spans="1:13" ht="15" hidden="1" customHeight="1" x14ac:dyDescent="0.45">
      <c r="A270" s="67">
        <v>6</v>
      </c>
      <c r="B270" s="163" t="s">
        <v>97</v>
      </c>
      <c r="C270" s="28" t="s">
        <v>143</v>
      </c>
      <c r="D270" s="28" t="str">
        <f t="shared" si="52"/>
        <v/>
      </c>
      <c r="E270" s="256" t="str">
        <f t="shared" si="53"/>
        <v/>
      </c>
      <c r="F270" s="256" t="str">
        <f t="shared" si="54"/>
        <v/>
      </c>
      <c r="G270" s="159" t="str">
        <f t="shared" si="55"/>
        <v>rumus</v>
      </c>
      <c r="H270" s="39" t="s">
        <v>66</v>
      </c>
      <c r="I270" s="36"/>
      <c r="J270" s="36"/>
      <c r="K270" s="37" t="str">
        <f t="shared" si="50"/>
        <v>rumus</v>
      </c>
      <c r="L270" s="115" t="str">
        <f t="shared" si="51"/>
        <v xml:space="preserve"> </v>
      </c>
      <c r="M270" s="35"/>
    </row>
    <row r="271" spans="1:13" ht="15" hidden="1" customHeight="1" x14ac:dyDescent="0.45">
      <c r="A271" s="67">
        <v>7</v>
      </c>
      <c r="B271" s="163" t="s">
        <v>97</v>
      </c>
      <c r="C271" s="28" t="s">
        <v>143</v>
      </c>
      <c r="D271" s="28" t="str">
        <f t="shared" si="52"/>
        <v/>
      </c>
      <c r="E271" s="256" t="str">
        <f t="shared" si="53"/>
        <v/>
      </c>
      <c r="F271" s="256" t="str">
        <f t="shared" si="54"/>
        <v/>
      </c>
      <c r="G271" s="159" t="str">
        <f t="shared" si="55"/>
        <v>rumus</v>
      </c>
      <c r="H271" s="39" t="s">
        <v>66</v>
      </c>
      <c r="I271" s="36"/>
      <c r="J271" s="36"/>
      <c r="K271" s="37" t="str">
        <f t="shared" si="50"/>
        <v>rumus</v>
      </c>
      <c r="L271" s="115" t="str">
        <f t="shared" si="51"/>
        <v xml:space="preserve"> </v>
      </c>
      <c r="M271" s="35"/>
    </row>
    <row r="272" spans="1:13" ht="15" hidden="1" customHeight="1" x14ac:dyDescent="0.45">
      <c r="A272" s="67">
        <v>8</v>
      </c>
      <c r="B272" s="163" t="s">
        <v>97</v>
      </c>
      <c r="C272" s="28" t="s">
        <v>143</v>
      </c>
      <c r="D272" s="28" t="str">
        <f t="shared" si="52"/>
        <v/>
      </c>
      <c r="E272" s="256" t="str">
        <f t="shared" si="53"/>
        <v/>
      </c>
      <c r="F272" s="256" t="str">
        <f t="shared" si="54"/>
        <v/>
      </c>
      <c r="G272" s="159" t="str">
        <f t="shared" si="55"/>
        <v>rumus</v>
      </c>
      <c r="H272" s="39" t="s">
        <v>66</v>
      </c>
      <c r="I272" s="36"/>
      <c r="J272" s="36"/>
      <c r="K272" s="37" t="str">
        <f t="shared" si="50"/>
        <v>rumus</v>
      </c>
      <c r="L272" s="115" t="str">
        <f t="shared" si="51"/>
        <v xml:space="preserve"> </v>
      </c>
      <c r="M272" s="35"/>
    </row>
    <row r="273" spans="1:14" ht="15" hidden="1" customHeight="1" x14ac:dyDescent="0.45">
      <c r="A273" s="67">
        <v>9</v>
      </c>
      <c r="B273" s="163" t="s">
        <v>97</v>
      </c>
      <c r="C273" s="28" t="s">
        <v>143</v>
      </c>
      <c r="D273" s="28" t="str">
        <f t="shared" si="52"/>
        <v/>
      </c>
      <c r="E273" s="256" t="str">
        <f t="shared" si="53"/>
        <v/>
      </c>
      <c r="F273" s="256" t="str">
        <f t="shared" si="54"/>
        <v/>
      </c>
      <c r="G273" s="159" t="str">
        <f t="shared" si="55"/>
        <v>rumus</v>
      </c>
      <c r="H273" s="39" t="s">
        <v>66</v>
      </c>
      <c r="I273" s="36"/>
      <c r="J273" s="36"/>
      <c r="K273" s="37" t="str">
        <f t="shared" si="50"/>
        <v>rumus</v>
      </c>
      <c r="L273" s="115" t="str">
        <f t="shared" si="51"/>
        <v xml:space="preserve"> </v>
      </c>
      <c r="M273" s="35"/>
    </row>
    <row r="274" spans="1:14" ht="15" hidden="1" customHeight="1" x14ac:dyDescent="0.45">
      <c r="A274" s="67">
        <v>10</v>
      </c>
      <c r="B274" s="163" t="s">
        <v>97</v>
      </c>
      <c r="C274" s="28" t="s">
        <v>143</v>
      </c>
      <c r="D274" s="28" t="str">
        <f t="shared" si="52"/>
        <v/>
      </c>
      <c r="E274" s="256" t="str">
        <f t="shared" si="53"/>
        <v/>
      </c>
      <c r="F274" s="256" t="str">
        <f t="shared" si="54"/>
        <v/>
      </c>
      <c r="G274" s="159" t="str">
        <f t="shared" si="55"/>
        <v>rumus</v>
      </c>
      <c r="H274" s="39" t="s">
        <v>66</v>
      </c>
      <c r="I274" s="36"/>
      <c r="J274" s="36"/>
      <c r="K274" s="37" t="str">
        <f t="shared" si="50"/>
        <v>rumus</v>
      </c>
      <c r="L274" s="115" t="str">
        <f t="shared" si="51"/>
        <v xml:space="preserve"> </v>
      </c>
      <c r="M274" s="35"/>
    </row>
    <row r="275" spans="1:14" hidden="1" x14ac:dyDescent="0.45">
      <c r="A275" s="67"/>
      <c r="B275" s="168" t="str">
        <f>"a. Semester Gasal "&amp;IF(C276&lt;&gt;"",C276,"")&amp;" :"</f>
        <v>a. Semester Gasal 2007/2008 :</v>
      </c>
      <c r="C275" s="57"/>
      <c r="D275" s="57"/>
      <c r="E275" s="57"/>
      <c r="F275" s="57"/>
      <c r="G275" s="57"/>
      <c r="H275" s="114"/>
      <c r="I275" s="35"/>
      <c r="M275" s="25">
        <f>IF(IF((COUNTIF(L265:L274,"Pembimbing Utama Laporan akhir studi"))&lt;=10,(SUMIF(L265:L274,"Pembimbing Utama Laporan akhir studi",K265:K274)),1*10)+IF((COUNTIF(L265:L274,"Pembimbing Pendamping Laporan akhir studi"))&lt;=10,(SUMIF(L265:L274,"Pembimbing Pendamping Laporan akhir studi",K265:K274)),0.5*10)+IF((COUNTIF(L265:L274,"Pembimbing Utama Skripsi"))&lt;=8,(SUMIF(L265:L274,"Pembimbing Utama Skripsi",K265:K274)),1*8)+IF((COUNTIF(L265:L274,"Pembimbing Pendamping Skripsi"))&lt;=8,(SUMIF(L265:L274,"Pembimbing Pendamping Skripsi",K265:K274)),1*8)+IF((COUNTIF(L265:L274,"Pembimbing Utama Tesis"))&lt;=6,(SUMIF(L265:L274,"Pembimbing Utama Tesis",K265:K274)),3*6)+IF((COUNTIF(L265:L274,"Pembimbing Pendamping Tesis"))&lt;=6,(SUMIF(L265:L274,"Pembimbing Pendamping Tesis",K265:K274)),2*6)+IF((COUNTIF(L265:L274,"Pembimbing Utama Disertasi"))&lt;=4,(SUMIF(L265:L274,"Pembimbing Utama Disertasi",K265:K274)),8*4)+IF((COUNTIF(L265:L274,"Pembimbing Pendamping Disertasi"))&lt;=4,(SUMIF(L265:L274,"Pembimbing Pendamping Disertasi",K265:K274)),6*4)&lt;=32,IF((COUNTIF(L265:L274,"Pembimbing Utama Laporan akhir studi"))&lt;=10,(SUMIF(L265:L274,"Pembimbing Utama Laporan akhir studi",K265:K274)),1*10)+IF((COUNTIF(L265:L274,"Pembimbing Pendamping Laporan akhir studi"))&lt;=10,(SUMIF(L265:L274,"Pembimbing Pendamping Laporan akhir studi",K265:K274)),0.5*10)+IF((COUNTIF(L265:L274,"Pembimbing Utama Skripsi"))&lt;=8,(SUMIF(L265:L274,"Pembimbing Utama Skripsi",K265:K274)),1*8)+IF((COUNTIF(L265:L274,"Pembimbing Pendamping Skripsi"))&lt;=8,(SUMIF(L265:L274,"Pembimbing Pendamping Skripsi",K265:K274)),1*8)+IF((COUNTIF(L265:L274,"Pembimbing Utama Tesis"))&lt;=6,(SUMIF(L265:L274,"Pembimbing Utama Tesis",K265:K274)),3*6)+IF((COUNTIF(L265:L274,"Pembimbing Pendamping Tesis"))&lt;=6,(SUMIF(L265:L274,"Pembimbing Pendamping Tesis",K265:K274)),2*6)+IF((COUNTIF(L265:L274,"Pembimbing Utama Disertasi"))&lt;=4,(SUMIF(L265:L274,"Pembimbing Utama Disertasi",K265:K274)),8*4)+IF((COUNTIF(L265:L274,"Pembimbing Pendamping Disertasi"))&lt;=4,(SUMIF(L265:L274,"Pembimbing Pendamping Disertasi",K265:K274)),6*4),32)</f>
        <v>0</v>
      </c>
      <c r="N275" s="33" t="str">
        <f>"Max 32"</f>
        <v>Max 32</v>
      </c>
    </row>
    <row r="276" spans="1:14" ht="15" hidden="1" customHeight="1" x14ac:dyDescent="0.45">
      <c r="A276" s="67">
        <v>1</v>
      </c>
      <c r="B276" s="186" t="s">
        <v>97</v>
      </c>
      <c r="C276" s="28" t="s">
        <v>144</v>
      </c>
      <c r="D276" s="28" t="str">
        <f>IF(G276&lt;&gt;"rumus","Lulusan","")</f>
        <v/>
      </c>
      <c r="E276" s="256" t="str">
        <f t="shared" ref="E276:E285" si="56">IF(I276&lt;&gt;"",1,"")</f>
        <v/>
      </c>
      <c r="F276" s="256" t="str">
        <f>IF(I276&lt;&gt;"",K276,"")</f>
        <v/>
      </c>
      <c r="G276" s="159" t="str">
        <f>IF(K276&lt;&gt;"rumus","1 x "&amp;K276&amp;" = "&amp;K276,"rumus")</f>
        <v>rumus</v>
      </c>
      <c r="H276" s="28" t="s">
        <v>620</v>
      </c>
      <c r="I276" s="36"/>
      <c r="J276" s="36"/>
      <c r="K276" s="37" t="str">
        <f t="shared" ref="K276:K285" si="57">IF(AND(I276&lt;&gt;"",J276&lt;&gt;""),IF(I276="Pembimbing Utama",IF(J276="Disertasi",8,IF(J276="Tesis",3,IF(J276="Skripsi",1,IF(J276="Laporan akhir studi",1,"")))),IF(I276="Pembimbing Pendamping",IF(J276="Disertasi",6,IF(J276="Tesis",2,IF(J276="Skripsi",0.5,IF(J276="Laporan akhir studi",0.5,"")))))),"rumus")</f>
        <v>rumus</v>
      </c>
      <c r="L276" s="115" t="str">
        <f t="shared" ref="L276:L285" si="58">I276&amp;" "&amp;J276</f>
        <v xml:space="preserve"> </v>
      </c>
      <c r="M276" s="35"/>
    </row>
    <row r="277" spans="1:14" ht="15" hidden="1" customHeight="1" x14ac:dyDescent="0.45">
      <c r="A277" s="67">
        <v>2</v>
      </c>
      <c r="B277" s="186" t="s">
        <v>97</v>
      </c>
      <c r="C277" s="28" t="s">
        <v>144</v>
      </c>
      <c r="D277" s="28" t="str">
        <f t="shared" ref="D277:D285" si="59">IF(G277&lt;&gt;"rumus","Lulusan","")</f>
        <v/>
      </c>
      <c r="E277" s="256" t="str">
        <f t="shared" si="56"/>
        <v/>
      </c>
      <c r="F277" s="256" t="str">
        <f t="shared" ref="F277:F285" si="60">IF(I277&lt;&gt;"",K277,"")</f>
        <v/>
      </c>
      <c r="G277" s="159" t="str">
        <f t="shared" ref="G277:G285" si="61">IF(K277&lt;&gt;"rumus","1 x "&amp;K277&amp;" = "&amp;K277,"rumus")</f>
        <v>rumus</v>
      </c>
      <c r="H277" s="39" t="s">
        <v>66</v>
      </c>
      <c r="I277" s="36"/>
      <c r="J277" s="36"/>
      <c r="K277" s="37" t="str">
        <f t="shared" si="57"/>
        <v>rumus</v>
      </c>
      <c r="L277" s="115" t="str">
        <f t="shared" si="58"/>
        <v xml:space="preserve"> </v>
      </c>
      <c r="M277" s="35"/>
    </row>
    <row r="278" spans="1:14" ht="15" hidden="1" customHeight="1" x14ac:dyDescent="0.45">
      <c r="A278" s="67">
        <v>3</v>
      </c>
      <c r="B278" s="186" t="s">
        <v>97</v>
      </c>
      <c r="C278" s="28" t="s">
        <v>144</v>
      </c>
      <c r="D278" s="28" t="str">
        <f t="shared" si="59"/>
        <v/>
      </c>
      <c r="E278" s="256" t="str">
        <f t="shared" si="56"/>
        <v/>
      </c>
      <c r="F278" s="256" t="str">
        <f t="shared" si="60"/>
        <v/>
      </c>
      <c r="G278" s="159" t="str">
        <f t="shared" si="61"/>
        <v>rumus</v>
      </c>
      <c r="H278" s="39" t="s">
        <v>66</v>
      </c>
      <c r="I278" s="36"/>
      <c r="J278" s="36"/>
      <c r="K278" s="37" t="str">
        <f t="shared" si="57"/>
        <v>rumus</v>
      </c>
      <c r="L278" s="115" t="str">
        <f t="shared" si="58"/>
        <v xml:space="preserve"> </v>
      </c>
      <c r="M278" s="35"/>
    </row>
    <row r="279" spans="1:14" ht="15" hidden="1" customHeight="1" x14ac:dyDescent="0.45">
      <c r="A279" s="67">
        <v>4</v>
      </c>
      <c r="B279" s="186" t="s">
        <v>97</v>
      </c>
      <c r="C279" s="28" t="s">
        <v>144</v>
      </c>
      <c r="D279" s="28" t="str">
        <f t="shared" si="59"/>
        <v/>
      </c>
      <c r="E279" s="256" t="str">
        <f t="shared" si="56"/>
        <v/>
      </c>
      <c r="F279" s="256" t="str">
        <f t="shared" si="60"/>
        <v/>
      </c>
      <c r="G279" s="159" t="str">
        <f t="shared" si="61"/>
        <v>rumus</v>
      </c>
      <c r="H279" s="39" t="s">
        <v>66</v>
      </c>
      <c r="I279" s="36"/>
      <c r="J279" s="36"/>
      <c r="K279" s="37" t="str">
        <f t="shared" si="57"/>
        <v>rumus</v>
      </c>
      <c r="L279" s="115" t="str">
        <f t="shared" si="58"/>
        <v xml:space="preserve"> </v>
      </c>
      <c r="M279" s="35"/>
    </row>
    <row r="280" spans="1:14" ht="15" hidden="1" customHeight="1" x14ac:dyDescent="0.45">
      <c r="A280" s="67">
        <v>5</v>
      </c>
      <c r="B280" s="186" t="s">
        <v>97</v>
      </c>
      <c r="C280" s="28" t="s">
        <v>144</v>
      </c>
      <c r="D280" s="28" t="str">
        <f t="shared" si="59"/>
        <v/>
      </c>
      <c r="E280" s="256" t="str">
        <f t="shared" si="56"/>
        <v/>
      </c>
      <c r="F280" s="256" t="str">
        <f t="shared" si="60"/>
        <v/>
      </c>
      <c r="G280" s="159" t="str">
        <f t="shared" si="61"/>
        <v>rumus</v>
      </c>
      <c r="H280" s="39" t="s">
        <v>66</v>
      </c>
      <c r="I280" s="36"/>
      <c r="J280" s="36"/>
      <c r="K280" s="37" t="str">
        <f t="shared" si="57"/>
        <v>rumus</v>
      </c>
      <c r="L280" s="115" t="str">
        <f t="shared" si="58"/>
        <v xml:space="preserve"> </v>
      </c>
      <c r="M280" s="35"/>
    </row>
    <row r="281" spans="1:14" ht="15" hidden="1" customHeight="1" x14ac:dyDescent="0.45">
      <c r="A281" s="67">
        <v>6</v>
      </c>
      <c r="B281" s="186" t="s">
        <v>97</v>
      </c>
      <c r="C281" s="28" t="s">
        <v>144</v>
      </c>
      <c r="D281" s="28" t="str">
        <f t="shared" si="59"/>
        <v/>
      </c>
      <c r="E281" s="256" t="str">
        <f t="shared" si="56"/>
        <v/>
      </c>
      <c r="F281" s="256" t="str">
        <f t="shared" si="60"/>
        <v/>
      </c>
      <c r="G281" s="159" t="str">
        <f t="shared" si="61"/>
        <v>rumus</v>
      </c>
      <c r="H281" s="39" t="s">
        <v>66</v>
      </c>
      <c r="I281" s="36"/>
      <c r="J281" s="36"/>
      <c r="K281" s="37" t="str">
        <f t="shared" si="57"/>
        <v>rumus</v>
      </c>
      <c r="L281" s="115" t="str">
        <f t="shared" si="58"/>
        <v xml:space="preserve"> </v>
      </c>
      <c r="M281" s="35"/>
    </row>
    <row r="282" spans="1:14" ht="15" hidden="1" customHeight="1" x14ac:dyDescent="0.45">
      <c r="A282" s="67">
        <v>7</v>
      </c>
      <c r="B282" s="186" t="s">
        <v>97</v>
      </c>
      <c r="C282" s="28" t="s">
        <v>144</v>
      </c>
      <c r="D282" s="28" t="str">
        <f t="shared" si="59"/>
        <v/>
      </c>
      <c r="E282" s="256" t="str">
        <f t="shared" si="56"/>
        <v/>
      </c>
      <c r="F282" s="256" t="str">
        <f t="shared" si="60"/>
        <v/>
      </c>
      <c r="G282" s="159" t="str">
        <f t="shared" si="61"/>
        <v>rumus</v>
      </c>
      <c r="H282" s="39" t="s">
        <v>66</v>
      </c>
      <c r="I282" s="36"/>
      <c r="J282" s="36"/>
      <c r="K282" s="37" t="str">
        <f t="shared" ref="K282:K284" si="62">IF(AND(I282&lt;&gt;"",J282&lt;&gt;""),IF(I282="Pembimbing Utama",IF(J282="Disertasi",8,IF(J282="Tesis",3,IF(J282="Skripsi",1,IF(J282="Laporan akhir studi",1,"")))),IF(I282="Pembimbing Pendamping",IF(J282="Disertasi",6,IF(J282="Tesis",2,IF(J282="Skripsi",0.5,IF(J282="Laporan akhir studi",0.5,"")))))),"rumus")</f>
        <v>rumus</v>
      </c>
      <c r="L282" s="115" t="str">
        <f t="shared" ref="L282:L284" si="63">I282&amp;" "&amp;J282</f>
        <v xml:space="preserve"> </v>
      </c>
      <c r="M282" s="35"/>
    </row>
    <row r="283" spans="1:14" ht="15" hidden="1" customHeight="1" x14ac:dyDescent="0.45">
      <c r="A283" s="67">
        <v>8</v>
      </c>
      <c r="B283" s="186" t="s">
        <v>97</v>
      </c>
      <c r="C283" s="28" t="s">
        <v>144</v>
      </c>
      <c r="D283" s="28" t="str">
        <f t="shared" si="59"/>
        <v/>
      </c>
      <c r="E283" s="256" t="str">
        <f t="shared" si="56"/>
        <v/>
      </c>
      <c r="F283" s="256" t="str">
        <f t="shared" si="60"/>
        <v/>
      </c>
      <c r="G283" s="159" t="str">
        <f t="shared" si="61"/>
        <v>rumus</v>
      </c>
      <c r="H283" s="39" t="s">
        <v>66</v>
      </c>
      <c r="I283" s="36"/>
      <c r="J283" s="36"/>
      <c r="K283" s="37" t="str">
        <f t="shared" si="62"/>
        <v>rumus</v>
      </c>
      <c r="L283" s="115" t="str">
        <f t="shared" si="63"/>
        <v xml:space="preserve"> </v>
      </c>
      <c r="M283" s="35"/>
    </row>
    <row r="284" spans="1:14" ht="15" hidden="1" customHeight="1" x14ac:dyDescent="0.45">
      <c r="A284" s="67">
        <v>9</v>
      </c>
      <c r="B284" s="186" t="s">
        <v>97</v>
      </c>
      <c r="C284" s="28" t="s">
        <v>144</v>
      </c>
      <c r="D284" s="28" t="str">
        <f t="shared" si="59"/>
        <v/>
      </c>
      <c r="E284" s="256" t="str">
        <f t="shared" si="56"/>
        <v/>
      </c>
      <c r="F284" s="256" t="str">
        <f t="shared" si="60"/>
        <v/>
      </c>
      <c r="G284" s="159" t="str">
        <f t="shared" si="61"/>
        <v>rumus</v>
      </c>
      <c r="H284" s="39" t="s">
        <v>66</v>
      </c>
      <c r="I284" s="36"/>
      <c r="J284" s="36"/>
      <c r="K284" s="37" t="str">
        <f t="shared" si="62"/>
        <v>rumus</v>
      </c>
      <c r="L284" s="115" t="str">
        <f t="shared" si="63"/>
        <v xml:space="preserve"> </v>
      </c>
      <c r="M284" s="35"/>
    </row>
    <row r="285" spans="1:14" ht="15" hidden="1" customHeight="1" x14ac:dyDescent="0.45">
      <c r="A285" s="67">
        <v>10</v>
      </c>
      <c r="B285" s="186" t="s">
        <v>97</v>
      </c>
      <c r="C285" s="28" t="s">
        <v>144</v>
      </c>
      <c r="D285" s="28" t="str">
        <f t="shared" si="59"/>
        <v/>
      </c>
      <c r="E285" s="256" t="str">
        <f t="shared" si="56"/>
        <v/>
      </c>
      <c r="F285" s="256" t="str">
        <f t="shared" si="60"/>
        <v/>
      </c>
      <c r="G285" s="159" t="str">
        <f t="shared" si="61"/>
        <v>rumus</v>
      </c>
      <c r="H285" s="39" t="s">
        <v>66</v>
      </c>
      <c r="I285" s="36"/>
      <c r="J285" s="36"/>
      <c r="K285" s="37" t="str">
        <f t="shared" si="57"/>
        <v>rumus</v>
      </c>
      <c r="L285" s="115" t="str">
        <f t="shared" si="58"/>
        <v xml:space="preserve"> </v>
      </c>
      <c r="M285" s="35"/>
    </row>
    <row r="286" spans="1:14" hidden="1" x14ac:dyDescent="0.45">
      <c r="A286" s="67"/>
      <c r="B286" s="168" t="str">
        <f>"a. Semester Gasal "&amp;IF(C287&lt;&gt;"",C287,"")&amp;" :"</f>
        <v>a. Semester Gasal 2008/2009 :</v>
      </c>
      <c r="C286" s="57"/>
      <c r="D286" s="57"/>
      <c r="E286" s="57"/>
      <c r="F286" s="57"/>
      <c r="G286" s="57"/>
      <c r="H286" s="124"/>
      <c r="I286" s="35"/>
      <c r="M286" s="25">
        <f>IF(IF((COUNTIF(L276:L285,"Pembimbing Utama Laporan akhir studi"))&lt;=10,(SUMIF(L276:L285,"Pembimbing Utama Laporan akhir studi",K276:K285)),1*10)+IF((COUNTIF(L276:L285,"Pembimbing Pendamping Laporan akhir studi"))&lt;=10,(SUMIF(L276:L285,"Pembimbing Pendamping Laporan akhir studi",K276:K285)),0.5*10)+IF((COUNTIF(L276:L285,"Pembimbing Utama Skripsi"))&lt;=8,(SUMIF(L276:L285,"Pembimbing Utama Skripsi",K276:K285)),1*8)+IF((COUNTIF(L276:L285,"Pembimbing Pendamping Skripsi"))&lt;=8,(SUMIF(L276:L285,"Pembimbing Pendamping Skripsi",K276:K285)),1*8)+IF((COUNTIF(L276:L285,"Pembimbing Utama Tesis"))&lt;=6,(SUMIF(L276:L285,"Pembimbing Utama Tesis",K276:K285)),3*6)+IF((COUNTIF(L276:L285,"Pembimbing Pendamping Tesis"))&lt;=6,(SUMIF(L276:L285,"Pembimbing Pendamping Tesis",K276:K285)),2*6)+IF((COUNTIF(L276:L285,"Pembimbing Utama Disertasi"))&lt;=4,(SUMIF(L276:L285,"Pembimbing Utama Disertasi",K276:K285)),8*4)+IF((COUNTIF(L276:L285,"Pembimbing Pendamping Disertasi"))&lt;=4,(SUMIF(L276:L285,"Pembimbing Pendamping Disertasi",K276:K285)),6*4)&lt;=32,IF((COUNTIF(L276:L285,"Pembimbing Utama Laporan akhir studi"))&lt;=10,(SUMIF(L276:L285,"Pembimbing Utama Laporan akhir studi",K276:K285)),1*10)+IF((COUNTIF(L276:L285,"Pembimbing Pendamping Laporan akhir studi"))&lt;=10,(SUMIF(L276:L285,"Pembimbing Pendamping Laporan akhir studi",K276:K285)),0.5*10)+IF((COUNTIF(L276:L285,"Pembimbing Utama Skripsi"))&lt;=8,(SUMIF(L276:L285,"Pembimbing Utama Skripsi",K276:K285)),1*8)+IF((COUNTIF(L276:L285,"Pembimbing Pendamping Skripsi"))&lt;=8,(SUMIF(L276:L285,"Pembimbing Pendamping Skripsi",K276:K285)),1*8)+IF((COUNTIF(L276:L285,"Pembimbing Utama Tesis"))&lt;=6,(SUMIF(L276:L285,"Pembimbing Utama Tesis",K276:K285)),3*6)+IF((COUNTIF(L276:L285,"Pembimbing Pendamping Tesis"))&lt;=6,(SUMIF(L276:L285,"Pembimbing Pendamping Tesis",K276:K285)),2*6)+IF((COUNTIF(L276:L285,"Pembimbing Utama Disertasi"))&lt;=4,(SUMIF(L276:L285,"Pembimbing Utama Disertasi",K276:K285)),8*4)+IF((COUNTIF(L276:L285,"Pembimbing Pendamping Disertasi"))&lt;=4,(SUMIF(L276:L285,"Pembimbing Pendamping Disertasi",K276:K285)),6*4),32)</f>
        <v>0</v>
      </c>
      <c r="N286" s="33" t="str">
        <f>"Max 32"</f>
        <v>Max 32</v>
      </c>
    </row>
    <row r="287" spans="1:14" ht="15" hidden="1" customHeight="1" x14ac:dyDescent="0.45">
      <c r="A287" s="67">
        <v>1</v>
      </c>
      <c r="B287" s="186" t="s">
        <v>97</v>
      </c>
      <c r="C287" s="28" t="s">
        <v>145</v>
      </c>
      <c r="D287" s="28" t="str">
        <f>IF(G287&lt;&gt;"rumus","Lulusan","")</f>
        <v/>
      </c>
      <c r="E287" s="256" t="str">
        <f t="shared" ref="E287:E296" si="64">IF(I287&lt;&gt;"",1,"")</f>
        <v/>
      </c>
      <c r="F287" s="256" t="str">
        <f>IF(I287&lt;&gt;"",K287,"")</f>
        <v/>
      </c>
      <c r="G287" s="159" t="str">
        <f>IF(K287&lt;&gt;"rumus","1 x "&amp;K287&amp;" = "&amp;K287,"rumus")</f>
        <v>rumus</v>
      </c>
      <c r="H287" s="28" t="s">
        <v>620</v>
      </c>
      <c r="I287" s="36"/>
      <c r="J287" s="36"/>
      <c r="K287" s="37" t="str">
        <f t="shared" ref="K287:K296" si="65">IF(AND(I287&lt;&gt;"",J287&lt;&gt;""),IF(I287="Pembimbing Utama",IF(J287="Disertasi",8,IF(J287="Tesis",3,IF(J287="Skripsi",1,IF(J287="Laporan akhir studi",1,"")))),IF(I287="Pembimbing Pendamping",IF(J287="Disertasi",6,IF(J287="Tesis",2,IF(J287="Skripsi",0.5,IF(J287="Laporan akhir studi",0.5,"")))))),"rumus")</f>
        <v>rumus</v>
      </c>
      <c r="L287" s="115" t="str">
        <f t="shared" ref="L287:L296" si="66">I287&amp;" "&amp;J287</f>
        <v xml:space="preserve"> </v>
      </c>
      <c r="M287" s="35"/>
    </row>
    <row r="288" spans="1:14" ht="15" hidden="1" customHeight="1" x14ac:dyDescent="0.45">
      <c r="A288" s="67">
        <v>2</v>
      </c>
      <c r="B288" s="186" t="s">
        <v>97</v>
      </c>
      <c r="C288" s="28" t="s">
        <v>145</v>
      </c>
      <c r="D288" s="28" t="str">
        <f t="shared" ref="D288:D296" si="67">IF(G288&lt;&gt;"rumus","Lulusan","")</f>
        <v/>
      </c>
      <c r="E288" s="256" t="str">
        <f t="shared" si="64"/>
        <v/>
      </c>
      <c r="F288" s="256" t="str">
        <f t="shared" ref="F288:F296" si="68">IF(I288&lt;&gt;"",K288,"")</f>
        <v/>
      </c>
      <c r="G288" s="159" t="str">
        <f t="shared" ref="G288:G296" si="69">IF(K288&lt;&gt;"rumus","1 x "&amp;K288&amp;" = "&amp;K288,"rumus")</f>
        <v>rumus</v>
      </c>
      <c r="H288" s="28" t="s">
        <v>66</v>
      </c>
      <c r="I288" s="36"/>
      <c r="J288" s="36"/>
      <c r="K288" s="37" t="str">
        <f t="shared" si="65"/>
        <v>rumus</v>
      </c>
      <c r="L288" s="115" t="str">
        <f t="shared" si="66"/>
        <v xml:space="preserve"> </v>
      </c>
      <c r="M288" s="35"/>
    </row>
    <row r="289" spans="1:14" ht="15" hidden="1" customHeight="1" x14ac:dyDescent="0.45">
      <c r="A289" s="67">
        <v>3</v>
      </c>
      <c r="B289" s="186" t="s">
        <v>97</v>
      </c>
      <c r="C289" s="28" t="s">
        <v>145</v>
      </c>
      <c r="D289" s="28" t="str">
        <f t="shared" si="67"/>
        <v/>
      </c>
      <c r="E289" s="256" t="str">
        <f t="shared" si="64"/>
        <v/>
      </c>
      <c r="F289" s="256" t="str">
        <f t="shared" si="68"/>
        <v/>
      </c>
      <c r="G289" s="159" t="str">
        <f t="shared" si="69"/>
        <v>rumus</v>
      </c>
      <c r="H289" s="39" t="s">
        <v>66</v>
      </c>
      <c r="I289" s="36"/>
      <c r="J289" s="36"/>
      <c r="K289" s="37" t="str">
        <f t="shared" si="65"/>
        <v>rumus</v>
      </c>
      <c r="L289" s="115" t="str">
        <f t="shared" si="66"/>
        <v xml:space="preserve"> </v>
      </c>
      <c r="M289" s="35"/>
    </row>
    <row r="290" spans="1:14" ht="15" hidden="1" customHeight="1" x14ac:dyDescent="0.45">
      <c r="A290" s="67">
        <v>4</v>
      </c>
      <c r="B290" s="186" t="s">
        <v>97</v>
      </c>
      <c r="C290" s="28" t="s">
        <v>145</v>
      </c>
      <c r="D290" s="28" t="str">
        <f t="shared" si="67"/>
        <v/>
      </c>
      <c r="E290" s="256" t="str">
        <f t="shared" si="64"/>
        <v/>
      </c>
      <c r="F290" s="256" t="str">
        <f t="shared" si="68"/>
        <v/>
      </c>
      <c r="G290" s="159" t="str">
        <f t="shared" si="69"/>
        <v>rumus</v>
      </c>
      <c r="H290" s="39" t="s">
        <v>66</v>
      </c>
      <c r="I290" s="36"/>
      <c r="J290" s="36"/>
      <c r="K290" s="37" t="str">
        <f t="shared" si="65"/>
        <v>rumus</v>
      </c>
      <c r="L290" s="115" t="str">
        <f t="shared" si="66"/>
        <v xml:space="preserve"> </v>
      </c>
      <c r="M290" s="35"/>
    </row>
    <row r="291" spans="1:14" ht="15" hidden="1" customHeight="1" x14ac:dyDescent="0.45">
      <c r="A291" s="67">
        <v>5</v>
      </c>
      <c r="B291" s="186" t="s">
        <v>97</v>
      </c>
      <c r="C291" s="28" t="s">
        <v>145</v>
      </c>
      <c r="D291" s="28" t="str">
        <f t="shared" si="67"/>
        <v/>
      </c>
      <c r="E291" s="256" t="str">
        <f t="shared" si="64"/>
        <v/>
      </c>
      <c r="F291" s="256" t="str">
        <f t="shared" si="68"/>
        <v/>
      </c>
      <c r="G291" s="159" t="str">
        <f t="shared" si="69"/>
        <v>rumus</v>
      </c>
      <c r="H291" s="39" t="s">
        <v>66</v>
      </c>
      <c r="I291" s="36"/>
      <c r="J291" s="36"/>
      <c r="K291" s="37" t="str">
        <f t="shared" si="65"/>
        <v>rumus</v>
      </c>
      <c r="L291" s="115" t="str">
        <f t="shared" si="66"/>
        <v xml:space="preserve"> </v>
      </c>
      <c r="M291" s="35"/>
    </row>
    <row r="292" spans="1:14" ht="15" hidden="1" customHeight="1" x14ac:dyDescent="0.45">
      <c r="A292" s="67">
        <v>6</v>
      </c>
      <c r="B292" s="186" t="s">
        <v>97</v>
      </c>
      <c r="C292" s="28" t="s">
        <v>145</v>
      </c>
      <c r="D292" s="28" t="str">
        <f t="shared" si="67"/>
        <v/>
      </c>
      <c r="E292" s="256" t="str">
        <f t="shared" si="64"/>
        <v/>
      </c>
      <c r="F292" s="256" t="str">
        <f t="shared" si="68"/>
        <v/>
      </c>
      <c r="G292" s="159" t="str">
        <f t="shared" si="69"/>
        <v>rumus</v>
      </c>
      <c r="H292" s="39" t="s">
        <v>66</v>
      </c>
      <c r="I292" s="36"/>
      <c r="J292" s="36"/>
      <c r="K292" s="37" t="str">
        <f t="shared" si="65"/>
        <v>rumus</v>
      </c>
      <c r="L292" s="115" t="str">
        <f t="shared" si="66"/>
        <v xml:space="preserve"> </v>
      </c>
      <c r="M292" s="35"/>
    </row>
    <row r="293" spans="1:14" ht="15" hidden="1" customHeight="1" x14ac:dyDescent="0.45">
      <c r="A293" s="67">
        <v>7</v>
      </c>
      <c r="B293" s="186" t="s">
        <v>97</v>
      </c>
      <c r="C293" s="28" t="s">
        <v>145</v>
      </c>
      <c r="D293" s="28" t="str">
        <f t="shared" si="67"/>
        <v/>
      </c>
      <c r="E293" s="256" t="str">
        <f t="shared" si="64"/>
        <v/>
      </c>
      <c r="F293" s="256" t="str">
        <f t="shared" si="68"/>
        <v/>
      </c>
      <c r="G293" s="159" t="str">
        <f t="shared" si="69"/>
        <v>rumus</v>
      </c>
      <c r="H293" s="39" t="s">
        <v>66</v>
      </c>
      <c r="I293" s="36"/>
      <c r="J293" s="36"/>
      <c r="K293" s="37" t="str">
        <f t="shared" si="65"/>
        <v>rumus</v>
      </c>
      <c r="L293" s="115" t="str">
        <f t="shared" si="66"/>
        <v xml:space="preserve"> </v>
      </c>
      <c r="M293" s="35"/>
    </row>
    <row r="294" spans="1:14" ht="15" hidden="1" customHeight="1" x14ac:dyDescent="0.45">
      <c r="A294" s="67">
        <v>8</v>
      </c>
      <c r="B294" s="186" t="s">
        <v>97</v>
      </c>
      <c r="C294" s="28" t="s">
        <v>145</v>
      </c>
      <c r="D294" s="28" t="str">
        <f t="shared" si="67"/>
        <v/>
      </c>
      <c r="E294" s="256" t="str">
        <f t="shared" si="64"/>
        <v/>
      </c>
      <c r="F294" s="256" t="str">
        <f t="shared" si="68"/>
        <v/>
      </c>
      <c r="G294" s="159" t="str">
        <f t="shared" si="69"/>
        <v>rumus</v>
      </c>
      <c r="H294" s="39" t="s">
        <v>66</v>
      </c>
      <c r="I294" s="36"/>
      <c r="J294" s="36"/>
      <c r="K294" s="37" t="str">
        <f t="shared" si="65"/>
        <v>rumus</v>
      </c>
      <c r="L294" s="115" t="str">
        <f t="shared" si="66"/>
        <v xml:space="preserve"> </v>
      </c>
      <c r="M294" s="35"/>
    </row>
    <row r="295" spans="1:14" ht="15" hidden="1" customHeight="1" x14ac:dyDescent="0.45">
      <c r="A295" s="67">
        <v>9</v>
      </c>
      <c r="B295" s="186" t="s">
        <v>97</v>
      </c>
      <c r="C295" s="28" t="s">
        <v>145</v>
      </c>
      <c r="D295" s="28" t="str">
        <f t="shared" si="67"/>
        <v/>
      </c>
      <c r="E295" s="256" t="str">
        <f t="shared" si="64"/>
        <v/>
      </c>
      <c r="F295" s="256" t="str">
        <f t="shared" si="68"/>
        <v/>
      </c>
      <c r="G295" s="159" t="str">
        <f t="shared" si="69"/>
        <v>rumus</v>
      </c>
      <c r="H295" s="39" t="s">
        <v>66</v>
      </c>
      <c r="I295" s="36"/>
      <c r="J295" s="36"/>
      <c r="K295" s="37" t="str">
        <f t="shared" si="65"/>
        <v>rumus</v>
      </c>
      <c r="L295" s="115" t="str">
        <f t="shared" si="66"/>
        <v xml:space="preserve"> </v>
      </c>
      <c r="M295" s="35"/>
    </row>
    <row r="296" spans="1:14" ht="15" hidden="1" customHeight="1" x14ac:dyDescent="0.45">
      <c r="A296" s="67">
        <v>10</v>
      </c>
      <c r="B296" s="186" t="s">
        <v>97</v>
      </c>
      <c r="C296" s="28" t="s">
        <v>145</v>
      </c>
      <c r="D296" s="28" t="str">
        <f t="shared" si="67"/>
        <v/>
      </c>
      <c r="E296" s="256" t="str">
        <f t="shared" si="64"/>
        <v/>
      </c>
      <c r="F296" s="256" t="str">
        <f t="shared" si="68"/>
        <v/>
      </c>
      <c r="G296" s="159" t="str">
        <f t="shared" si="69"/>
        <v>rumus</v>
      </c>
      <c r="H296" s="39" t="s">
        <v>66</v>
      </c>
      <c r="I296" s="36"/>
      <c r="J296" s="36"/>
      <c r="K296" s="37" t="str">
        <f t="shared" si="65"/>
        <v>rumus</v>
      </c>
      <c r="L296" s="115" t="str">
        <f t="shared" si="66"/>
        <v xml:space="preserve"> </v>
      </c>
      <c r="M296" s="35"/>
    </row>
    <row r="297" spans="1:14" hidden="1" x14ac:dyDescent="0.45">
      <c r="A297" s="67"/>
      <c r="B297" s="168" t="str">
        <f>"a. Semester Gasal "&amp;IF(C298&lt;&gt;"",C298,"")&amp;" :"</f>
        <v>a. Semester Gasal 2009/2010 :</v>
      </c>
      <c r="C297" s="57"/>
      <c r="D297" s="57"/>
      <c r="E297" s="57"/>
      <c r="F297" s="57"/>
      <c r="G297" s="57"/>
      <c r="H297" s="124"/>
      <c r="I297" s="35"/>
      <c r="M297" s="25">
        <f>IF(IF((COUNTIF(L287:L296,"Pembimbing Utama Laporan akhir studi"))&lt;=10,(SUMIF(L287:L296,"Pembimbing Utama Laporan akhir studi",K287:K296)),1*10)+IF((COUNTIF(L287:L296,"Pembimbing Pendamping Laporan akhir studi"))&lt;=10,(SUMIF(L287:L296,"Pembimbing Pendamping Laporan akhir studi",K287:K296)),0.5*10)+IF((COUNTIF(L287:L296,"Pembimbing Utama Skripsi"))&lt;=8,(SUMIF(L287:L296,"Pembimbing Utama Skripsi",K287:K296)),1*8)+IF((COUNTIF(L287:L296,"Pembimbing Pendamping Skripsi"))&lt;=8,(SUMIF(L287:L296,"Pembimbing Pendamping Skripsi",K287:K296)),1*8)+IF((COUNTIF(L287:L296,"Pembimbing Utama Tesis"))&lt;=6,(SUMIF(L287:L296,"Pembimbing Utama Tesis",K287:K296)),3*6)+IF((COUNTIF(L287:L296,"Pembimbing Pendamping Tesis"))&lt;=6,(SUMIF(L287:L296,"Pembimbing Pendamping Tesis",K287:K296)),2*6)+IF((COUNTIF(L287:L296,"Pembimbing Utama Disertasi"))&lt;=4,(SUMIF(L287:L296,"Pembimbing Utama Disertasi",K287:K296)),8*4)+IF((COUNTIF(L287:L296,"Pembimbing Pendamping Disertasi"))&lt;=4,(SUMIF(L287:L296,"Pembimbing Pendamping Disertasi",K287:K296)),6*4)&lt;=32,IF((COUNTIF(L287:L296,"Pembimbing Utama Laporan akhir studi"))&lt;=10,(SUMIF(L287:L296,"Pembimbing Utama Laporan akhir studi",K287:K296)),1*10)+IF((COUNTIF(L287:L296,"Pembimbing Pendamping Laporan akhir studi"))&lt;=10,(SUMIF(L287:L296,"Pembimbing Pendamping Laporan akhir studi",K287:K296)),0.5*10)+IF((COUNTIF(L287:L296,"Pembimbing Utama Skripsi"))&lt;=8,(SUMIF(L287:L296,"Pembimbing Utama Skripsi",K287:K296)),1*8)+IF((COUNTIF(L287:L296,"Pembimbing Pendamping Skripsi"))&lt;=8,(SUMIF(L287:L296,"Pembimbing Pendamping Skripsi",K287:K296)),1*8)+IF((COUNTIF(L287:L296,"Pembimbing Utama Tesis"))&lt;=6,(SUMIF(L287:L296,"Pembimbing Utama Tesis",K287:K296)),3*6)+IF((COUNTIF(L287:L296,"Pembimbing Pendamping Tesis"))&lt;=6,(SUMIF(L287:L296,"Pembimbing Pendamping Tesis",K287:K296)),2*6)+IF((COUNTIF(L287:L296,"Pembimbing Utama Disertasi"))&lt;=4,(SUMIF(L287:L296,"Pembimbing Utama Disertasi",K287:K296)),8*4)+IF((COUNTIF(L287:L296,"Pembimbing Pendamping Disertasi"))&lt;=4,(SUMIF(L287:L296,"Pembimbing Pendamping Disertasi",K287:K296)),6*4),32)</f>
        <v>0</v>
      </c>
      <c r="N297" s="33" t="str">
        <f>"Max 32"</f>
        <v>Max 32</v>
      </c>
    </row>
    <row r="298" spans="1:14" ht="15" hidden="1" customHeight="1" x14ac:dyDescent="0.45">
      <c r="A298" s="67">
        <v>1</v>
      </c>
      <c r="B298" s="186" t="s">
        <v>97</v>
      </c>
      <c r="C298" s="28" t="s">
        <v>146</v>
      </c>
      <c r="D298" s="28" t="str">
        <f>IF(G298&lt;&gt;"rumus","Lulusan","")</f>
        <v/>
      </c>
      <c r="E298" s="256" t="str">
        <f t="shared" ref="E298:E307" si="70">IF(I298&lt;&gt;"",1,"")</f>
        <v/>
      </c>
      <c r="F298" s="256" t="str">
        <f>IF(I298&lt;&gt;"",K298,"")</f>
        <v/>
      </c>
      <c r="G298" s="159" t="str">
        <f>IF(K298&lt;&gt;"rumus","1 x "&amp;K298&amp;" = "&amp;K298,"rumus")</f>
        <v>rumus</v>
      </c>
      <c r="H298" s="28" t="s">
        <v>620</v>
      </c>
      <c r="I298" s="36"/>
      <c r="J298" s="36"/>
      <c r="K298" s="37" t="str">
        <f t="shared" ref="K298:K307" si="71">IF(AND(I298&lt;&gt;"",J298&lt;&gt;""),IF(I298="Pembimbing Utama",IF(J298="Disertasi",8,IF(J298="Tesis",3,IF(J298="Skripsi",1,IF(J298="Laporan akhir studi",1,"")))),IF(I298="Pembimbing Pendamping",IF(J298="Disertasi",6,IF(J298="Tesis",2,IF(J298="Skripsi",0.5,IF(J298="Laporan akhir studi",0.5,"")))))),"rumus")</f>
        <v>rumus</v>
      </c>
      <c r="L298" s="115" t="str">
        <f t="shared" ref="L298:L307" si="72">I298&amp;" "&amp;J298</f>
        <v xml:space="preserve"> </v>
      </c>
      <c r="M298" s="35"/>
    </row>
    <row r="299" spans="1:14" ht="15" hidden="1" customHeight="1" x14ac:dyDescent="0.45">
      <c r="A299" s="67">
        <v>2</v>
      </c>
      <c r="B299" s="186" t="s">
        <v>97</v>
      </c>
      <c r="C299" s="28" t="s">
        <v>146</v>
      </c>
      <c r="D299" s="28" t="str">
        <f t="shared" ref="D299:D307" si="73">IF(G299&lt;&gt;"rumus","Lulusan","")</f>
        <v/>
      </c>
      <c r="E299" s="256" t="str">
        <f t="shared" si="70"/>
        <v/>
      </c>
      <c r="F299" s="256" t="str">
        <f t="shared" ref="F299:F307" si="74">IF(I299&lt;&gt;"",K299,"")</f>
        <v/>
      </c>
      <c r="G299" s="159" t="str">
        <f t="shared" ref="G299:G307" si="75">IF(K299&lt;&gt;"rumus","1 x "&amp;K299&amp;" = "&amp;K299,"rumus")</f>
        <v>rumus</v>
      </c>
      <c r="H299" s="39" t="s">
        <v>66</v>
      </c>
      <c r="I299" s="36"/>
      <c r="J299" s="36"/>
      <c r="K299" s="37" t="str">
        <f t="shared" si="71"/>
        <v>rumus</v>
      </c>
      <c r="L299" s="115" t="str">
        <f t="shared" si="72"/>
        <v xml:space="preserve"> </v>
      </c>
      <c r="M299" s="35"/>
    </row>
    <row r="300" spans="1:14" ht="15" hidden="1" customHeight="1" x14ac:dyDescent="0.45">
      <c r="A300" s="67">
        <v>3</v>
      </c>
      <c r="B300" s="186" t="s">
        <v>97</v>
      </c>
      <c r="C300" s="28" t="s">
        <v>146</v>
      </c>
      <c r="D300" s="28" t="str">
        <f t="shared" si="73"/>
        <v/>
      </c>
      <c r="E300" s="256" t="str">
        <f t="shared" si="70"/>
        <v/>
      </c>
      <c r="F300" s="256" t="str">
        <f t="shared" si="74"/>
        <v/>
      </c>
      <c r="G300" s="159" t="str">
        <f t="shared" si="75"/>
        <v>rumus</v>
      </c>
      <c r="H300" s="39" t="s">
        <v>66</v>
      </c>
      <c r="I300" s="36"/>
      <c r="J300" s="36"/>
      <c r="K300" s="37" t="str">
        <f t="shared" si="71"/>
        <v>rumus</v>
      </c>
      <c r="L300" s="115" t="str">
        <f t="shared" si="72"/>
        <v xml:space="preserve"> </v>
      </c>
      <c r="M300" s="35"/>
    </row>
    <row r="301" spans="1:14" ht="15" hidden="1" customHeight="1" x14ac:dyDescent="0.45">
      <c r="A301" s="67">
        <v>4</v>
      </c>
      <c r="B301" s="186" t="s">
        <v>97</v>
      </c>
      <c r="C301" s="28" t="s">
        <v>146</v>
      </c>
      <c r="D301" s="28" t="str">
        <f t="shared" si="73"/>
        <v/>
      </c>
      <c r="E301" s="256" t="str">
        <f t="shared" si="70"/>
        <v/>
      </c>
      <c r="F301" s="256" t="str">
        <f t="shared" si="74"/>
        <v/>
      </c>
      <c r="G301" s="159" t="str">
        <f t="shared" si="75"/>
        <v>rumus</v>
      </c>
      <c r="H301" s="39" t="s">
        <v>66</v>
      </c>
      <c r="I301" s="36"/>
      <c r="J301" s="36"/>
      <c r="K301" s="37" t="str">
        <f t="shared" si="71"/>
        <v>rumus</v>
      </c>
      <c r="L301" s="115" t="str">
        <f t="shared" si="72"/>
        <v xml:space="preserve"> </v>
      </c>
      <c r="M301" s="35"/>
    </row>
    <row r="302" spans="1:14" ht="15" hidden="1" customHeight="1" x14ac:dyDescent="0.45">
      <c r="A302" s="67">
        <v>5</v>
      </c>
      <c r="B302" s="186" t="s">
        <v>97</v>
      </c>
      <c r="C302" s="28" t="s">
        <v>146</v>
      </c>
      <c r="D302" s="28" t="str">
        <f t="shared" si="73"/>
        <v/>
      </c>
      <c r="E302" s="256" t="str">
        <f t="shared" si="70"/>
        <v/>
      </c>
      <c r="F302" s="256" t="str">
        <f t="shared" si="74"/>
        <v/>
      </c>
      <c r="G302" s="159" t="str">
        <f t="shared" si="75"/>
        <v>rumus</v>
      </c>
      <c r="H302" s="39" t="s">
        <v>66</v>
      </c>
      <c r="I302" s="36"/>
      <c r="J302" s="36"/>
      <c r="K302" s="37" t="str">
        <f t="shared" si="71"/>
        <v>rumus</v>
      </c>
      <c r="L302" s="115" t="str">
        <f t="shared" si="72"/>
        <v xml:space="preserve"> </v>
      </c>
      <c r="M302" s="35"/>
    </row>
    <row r="303" spans="1:14" ht="15" hidden="1" customHeight="1" x14ac:dyDescent="0.45">
      <c r="A303" s="67">
        <v>6</v>
      </c>
      <c r="B303" s="186" t="s">
        <v>97</v>
      </c>
      <c r="C303" s="28" t="s">
        <v>146</v>
      </c>
      <c r="D303" s="28" t="str">
        <f t="shared" si="73"/>
        <v/>
      </c>
      <c r="E303" s="256" t="str">
        <f t="shared" si="70"/>
        <v/>
      </c>
      <c r="F303" s="256" t="str">
        <f t="shared" si="74"/>
        <v/>
      </c>
      <c r="G303" s="159" t="str">
        <f t="shared" si="75"/>
        <v>rumus</v>
      </c>
      <c r="H303" s="39" t="s">
        <v>66</v>
      </c>
      <c r="I303" s="36"/>
      <c r="J303" s="36"/>
      <c r="K303" s="37" t="str">
        <f t="shared" si="71"/>
        <v>rumus</v>
      </c>
      <c r="L303" s="115" t="str">
        <f t="shared" si="72"/>
        <v xml:space="preserve"> </v>
      </c>
      <c r="M303" s="35"/>
    </row>
    <row r="304" spans="1:14" ht="15" hidden="1" customHeight="1" x14ac:dyDescent="0.45">
      <c r="A304" s="67">
        <v>7</v>
      </c>
      <c r="B304" s="186" t="s">
        <v>97</v>
      </c>
      <c r="C304" s="28" t="s">
        <v>146</v>
      </c>
      <c r="D304" s="28" t="str">
        <f t="shared" si="73"/>
        <v/>
      </c>
      <c r="E304" s="256" t="str">
        <f t="shared" si="70"/>
        <v/>
      </c>
      <c r="F304" s="256" t="str">
        <f t="shared" si="74"/>
        <v/>
      </c>
      <c r="G304" s="159" t="str">
        <f t="shared" si="75"/>
        <v>rumus</v>
      </c>
      <c r="H304" s="39" t="s">
        <v>66</v>
      </c>
      <c r="I304" s="36"/>
      <c r="J304" s="36"/>
      <c r="K304" s="37" t="str">
        <f t="shared" si="71"/>
        <v>rumus</v>
      </c>
      <c r="L304" s="115" t="str">
        <f t="shared" si="72"/>
        <v xml:space="preserve"> </v>
      </c>
      <c r="M304" s="35"/>
    </row>
    <row r="305" spans="1:14" ht="15" hidden="1" customHeight="1" x14ac:dyDescent="0.45">
      <c r="A305" s="67">
        <v>8</v>
      </c>
      <c r="B305" s="186" t="s">
        <v>97</v>
      </c>
      <c r="C305" s="28" t="s">
        <v>146</v>
      </c>
      <c r="D305" s="28" t="str">
        <f t="shared" si="73"/>
        <v/>
      </c>
      <c r="E305" s="256" t="str">
        <f t="shared" si="70"/>
        <v/>
      </c>
      <c r="F305" s="256" t="str">
        <f t="shared" si="74"/>
        <v/>
      </c>
      <c r="G305" s="159" t="str">
        <f t="shared" si="75"/>
        <v>rumus</v>
      </c>
      <c r="H305" s="39" t="s">
        <v>66</v>
      </c>
      <c r="I305" s="36"/>
      <c r="J305" s="36"/>
      <c r="K305" s="37" t="str">
        <f t="shared" si="71"/>
        <v>rumus</v>
      </c>
      <c r="L305" s="115" t="str">
        <f t="shared" si="72"/>
        <v xml:space="preserve"> </v>
      </c>
      <c r="M305" s="35"/>
    </row>
    <row r="306" spans="1:14" ht="15" hidden="1" customHeight="1" x14ac:dyDescent="0.45">
      <c r="A306" s="67">
        <v>9</v>
      </c>
      <c r="B306" s="186" t="s">
        <v>97</v>
      </c>
      <c r="C306" s="28" t="s">
        <v>146</v>
      </c>
      <c r="D306" s="28" t="str">
        <f t="shared" si="73"/>
        <v/>
      </c>
      <c r="E306" s="256" t="str">
        <f t="shared" si="70"/>
        <v/>
      </c>
      <c r="F306" s="256" t="str">
        <f t="shared" si="74"/>
        <v/>
      </c>
      <c r="G306" s="159" t="str">
        <f t="shared" si="75"/>
        <v>rumus</v>
      </c>
      <c r="H306" s="39" t="s">
        <v>66</v>
      </c>
      <c r="I306" s="36"/>
      <c r="J306" s="36"/>
      <c r="K306" s="37" t="str">
        <f t="shared" si="71"/>
        <v>rumus</v>
      </c>
      <c r="L306" s="115" t="str">
        <f t="shared" si="72"/>
        <v xml:space="preserve"> </v>
      </c>
      <c r="M306" s="35"/>
    </row>
    <row r="307" spans="1:14" ht="15" hidden="1" customHeight="1" x14ac:dyDescent="0.45">
      <c r="A307" s="67">
        <v>10</v>
      </c>
      <c r="B307" s="186" t="s">
        <v>97</v>
      </c>
      <c r="C307" s="28" t="s">
        <v>146</v>
      </c>
      <c r="D307" s="28" t="str">
        <f t="shared" si="73"/>
        <v/>
      </c>
      <c r="E307" s="256" t="str">
        <f t="shared" si="70"/>
        <v/>
      </c>
      <c r="F307" s="256" t="str">
        <f t="shared" si="74"/>
        <v/>
      </c>
      <c r="G307" s="159" t="str">
        <f t="shared" si="75"/>
        <v>rumus</v>
      </c>
      <c r="H307" s="39" t="s">
        <v>66</v>
      </c>
      <c r="I307" s="36"/>
      <c r="J307" s="36"/>
      <c r="K307" s="37" t="str">
        <f t="shared" si="71"/>
        <v>rumus</v>
      </c>
      <c r="L307" s="115" t="str">
        <f t="shared" si="72"/>
        <v xml:space="preserve"> </v>
      </c>
      <c r="M307" s="35"/>
    </row>
    <row r="308" spans="1:14" hidden="1" x14ac:dyDescent="0.45">
      <c r="A308" s="67"/>
      <c r="B308" s="168" t="str">
        <f>"a. Semester Gasal "&amp;IF(C309&lt;&gt;"",C309,"")&amp;" :"</f>
        <v>a. Semester Gasal 2010/2011 :</v>
      </c>
      <c r="C308" s="57"/>
      <c r="D308" s="57"/>
      <c r="E308" s="57"/>
      <c r="F308" s="57"/>
      <c r="G308" s="57"/>
      <c r="H308" s="124"/>
      <c r="I308" s="35"/>
      <c r="M308" s="25">
        <f>IF(IF((COUNTIF(L298:L307,"Pembimbing Utama Laporan akhir studi"))&lt;=10,(SUMIF(L298:L307,"Pembimbing Utama Laporan akhir studi",K298:K307)),1*10)+IF((COUNTIF(L298:L307,"Pembimbing Pendamping Laporan akhir studi"))&lt;=10,(SUMIF(L298:L307,"Pembimbing Pendamping Laporan akhir studi",K298:K307)),0.5*10)+IF((COUNTIF(L298:L307,"Pembimbing Utama Skripsi"))&lt;=8,(SUMIF(L298:L307,"Pembimbing Utama Skripsi",K298:K307)),1*8)+IF((COUNTIF(L298:L307,"Pembimbing Pendamping Skripsi"))&lt;=8,(SUMIF(L298:L307,"Pembimbing Pendamping Skripsi",K298:K307)),1*8)+IF((COUNTIF(L298:L307,"Pembimbing Utama Tesis"))&lt;=6,(SUMIF(L298:L307,"Pembimbing Utama Tesis",K298:K307)),3*6)+IF((COUNTIF(L298:L307,"Pembimbing Pendamping Tesis"))&lt;=6,(SUMIF(L298:L307,"Pembimbing Pendamping Tesis",K298:K307)),2*6)+IF((COUNTIF(L298:L307,"Pembimbing Utama Disertasi"))&lt;=4,(SUMIF(L298:L307,"Pembimbing Utama Disertasi",K298:K307)),8*4)+IF((COUNTIF(L298:L307,"Pembimbing Pendamping Disertasi"))&lt;=4,(SUMIF(L298:L307,"Pembimbing Pendamping Disertasi",K298:K307)),6*4)&lt;=32,IF((COUNTIF(L298:L307,"Pembimbing Utama Laporan akhir studi"))&lt;=10,(SUMIF(L298:L307,"Pembimbing Utama Laporan akhir studi",K298:K307)),1*10)+IF((COUNTIF(L298:L307,"Pembimbing Pendamping Laporan akhir studi"))&lt;=10,(SUMIF(L298:L307,"Pembimbing Pendamping Laporan akhir studi",K298:K307)),0.5*10)+IF((COUNTIF(L298:L307,"Pembimbing Utama Skripsi"))&lt;=8,(SUMIF(L298:L307,"Pembimbing Utama Skripsi",K298:K307)),1*8)+IF((COUNTIF(L298:L307,"Pembimbing Pendamping Skripsi"))&lt;=8,(SUMIF(L298:L307,"Pembimbing Pendamping Skripsi",K298:K307)),1*8)+IF((COUNTIF(L298:L307,"Pembimbing Utama Tesis"))&lt;=6,(SUMIF(L298:L307,"Pembimbing Utama Tesis",K298:K307)),3*6)+IF((COUNTIF(L298:L307,"Pembimbing Pendamping Tesis"))&lt;=6,(SUMIF(L298:L307,"Pembimbing Pendamping Tesis",K298:K307)),2*6)+IF((COUNTIF(L298:L307,"Pembimbing Utama Disertasi"))&lt;=4,(SUMIF(L298:L307,"Pembimbing Utama Disertasi",K298:K307)),8*4)+IF((COUNTIF(L298:L307,"Pembimbing Pendamping Disertasi"))&lt;=4,(SUMIF(L298:L307,"Pembimbing Pendamping Disertasi",K298:K307)),6*4),32)</f>
        <v>0</v>
      </c>
      <c r="N308" s="33" t="str">
        <f>"Max 32"</f>
        <v>Max 32</v>
      </c>
    </row>
    <row r="309" spans="1:14" ht="15" hidden="1" customHeight="1" x14ac:dyDescent="0.45">
      <c r="A309" s="67">
        <v>1</v>
      </c>
      <c r="B309" s="186" t="s">
        <v>97</v>
      </c>
      <c r="C309" s="28" t="s">
        <v>108</v>
      </c>
      <c r="D309" s="28" t="str">
        <f>IF(G309&lt;&gt;"rumus","Lulusan","")</f>
        <v/>
      </c>
      <c r="E309" s="256" t="str">
        <f t="shared" ref="E309:E318" si="76">IF(I309&lt;&gt;"",1,"")</f>
        <v/>
      </c>
      <c r="F309" s="256" t="str">
        <f>IF(I309&lt;&gt;"",K309,"")</f>
        <v/>
      </c>
      <c r="G309" s="159" t="str">
        <f>IF(K309&lt;&gt;"rumus","1 x "&amp;K309&amp;" = "&amp;K309,"rumus")</f>
        <v>rumus</v>
      </c>
      <c r="H309" s="28" t="s">
        <v>620</v>
      </c>
      <c r="I309" s="36"/>
      <c r="J309" s="36"/>
      <c r="K309" s="37" t="str">
        <f t="shared" ref="K309:K318" si="77">IF(AND(I309&lt;&gt;"",J309&lt;&gt;""),IF(I309="Pembimbing Utama",IF(J309="Disertasi",8,IF(J309="Tesis",3,IF(J309="Skripsi",1,IF(J309="Laporan akhir studi",1,"")))),IF(I309="Pembimbing Pendamping",IF(J309="Disertasi",6,IF(J309="Tesis",2,IF(J309="Skripsi",0.5,IF(J309="Laporan akhir studi",0.5,"")))))),"rumus")</f>
        <v>rumus</v>
      </c>
      <c r="L309" s="115" t="str">
        <f t="shared" ref="L309:L318" si="78">I309&amp;" "&amp;J309</f>
        <v xml:space="preserve"> </v>
      </c>
      <c r="M309" s="35"/>
    </row>
    <row r="310" spans="1:14" ht="15" hidden="1" customHeight="1" x14ac:dyDescent="0.45">
      <c r="A310" s="67">
        <v>2</v>
      </c>
      <c r="B310" s="186" t="s">
        <v>97</v>
      </c>
      <c r="C310" s="28" t="s">
        <v>108</v>
      </c>
      <c r="D310" s="28" t="str">
        <f t="shared" ref="D310:D318" si="79">IF(G310&lt;&gt;"rumus","Lulusan","")</f>
        <v/>
      </c>
      <c r="E310" s="256" t="str">
        <f t="shared" si="76"/>
        <v/>
      </c>
      <c r="F310" s="256" t="str">
        <f t="shared" ref="F310:F318" si="80">IF(I310&lt;&gt;"",K310,"")</f>
        <v/>
      </c>
      <c r="G310" s="159" t="str">
        <f t="shared" ref="G310:G318" si="81">IF(K310&lt;&gt;"rumus","1 x "&amp;K310&amp;" = "&amp;K310,"rumus")</f>
        <v>rumus</v>
      </c>
      <c r="H310" s="39" t="s">
        <v>66</v>
      </c>
      <c r="I310" s="36"/>
      <c r="J310" s="36"/>
      <c r="K310" s="37" t="str">
        <f t="shared" si="77"/>
        <v>rumus</v>
      </c>
      <c r="L310" s="115" t="str">
        <f t="shared" si="78"/>
        <v xml:space="preserve"> </v>
      </c>
      <c r="M310" s="35"/>
    </row>
    <row r="311" spans="1:14" ht="15" hidden="1" customHeight="1" x14ac:dyDescent="0.45">
      <c r="A311" s="67">
        <v>3</v>
      </c>
      <c r="B311" s="186" t="s">
        <v>97</v>
      </c>
      <c r="C311" s="28" t="s">
        <v>108</v>
      </c>
      <c r="D311" s="28" t="str">
        <f t="shared" si="79"/>
        <v/>
      </c>
      <c r="E311" s="256" t="str">
        <f t="shared" si="76"/>
        <v/>
      </c>
      <c r="F311" s="256" t="str">
        <f t="shared" si="80"/>
        <v/>
      </c>
      <c r="G311" s="159" t="str">
        <f t="shared" si="81"/>
        <v>rumus</v>
      </c>
      <c r="H311" s="39" t="s">
        <v>66</v>
      </c>
      <c r="I311" s="36"/>
      <c r="J311" s="36"/>
      <c r="K311" s="37" t="str">
        <f t="shared" si="77"/>
        <v>rumus</v>
      </c>
      <c r="L311" s="115" t="str">
        <f t="shared" si="78"/>
        <v xml:space="preserve"> </v>
      </c>
      <c r="M311" s="35"/>
    </row>
    <row r="312" spans="1:14" ht="15" hidden="1" customHeight="1" x14ac:dyDescent="0.45">
      <c r="A312" s="67">
        <v>4</v>
      </c>
      <c r="B312" s="186" t="s">
        <v>97</v>
      </c>
      <c r="C312" s="28" t="s">
        <v>108</v>
      </c>
      <c r="D312" s="28" t="str">
        <f t="shared" si="79"/>
        <v/>
      </c>
      <c r="E312" s="256" t="str">
        <f t="shared" si="76"/>
        <v/>
      </c>
      <c r="F312" s="256" t="str">
        <f t="shared" si="80"/>
        <v/>
      </c>
      <c r="G312" s="159" t="str">
        <f t="shared" si="81"/>
        <v>rumus</v>
      </c>
      <c r="H312" s="39" t="s">
        <v>66</v>
      </c>
      <c r="I312" s="36"/>
      <c r="J312" s="36"/>
      <c r="K312" s="37" t="str">
        <f t="shared" si="77"/>
        <v>rumus</v>
      </c>
      <c r="L312" s="115" t="str">
        <f t="shared" si="78"/>
        <v xml:space="preserve"> </v>
      </c>
      <c r="M312" s="35"/>
    </row>
    <row r="313" spans="1:14" ht="15" hidden="1" customHeight="1" x14ac:dyDescent="0.45">
      <c r="A313" s="67">
        <v>5</v>
      </c>
      <c r="B313" s="186" t="s">
        <v>97</v>
      </c>
      <c r="C313" s="28" t="s">
        <v>108</v>
      </c>
      <c r="D313" s="28" t="str">
        <f t="shared" si="79"/>
        <v/>
      </c>
      <c r="E313" s="256" t="str">
        <f t="shared" si="76"/>
        <v/>
      </c>
      <c r="F313" s="256" t="str">
        <f t="shared" si="80"/>
        <v/>
      </c>
      <c r="G313" s="159" t="str">
        <f t="shared" si="81"/>
        <v>rumus</v>
      </c>
      <c r="H313" s="39" t="s">
        <v>66</v>
      </c>
      <c r="I313" s="36"/>
      <c r="J313" s="36"/>
      <c r="K313" s="37" t="str">
        <f t="shared" si="77"/>
        <v>rumus</v>
      </c>
      <c r="L313" s="115" t="str">
        <f t="shared" si="78"/>
        <v xml:space="preserve"> </v>
      </c>
      <c r="M313" s="35"/>
    </row>
    <row r="314" spans="1:14" ht="15" hidden="1" customHeight="1" x14ac:dyDescent="0.45">
      <c r="A314" s="67">
        <v>6</v>
      </c>
      <c r="B314" s="186" t="s">
        <v>97</v>
      </c>
      <c r="C314" s="28" t="s">
        <v>108</v>
      </c>
      <c r="D314" s="28" t="str">
        <f t="shared" si="79"/>
        <v/>
      </c>
      <c r="E314" s="256" t="str">
        <f t="shared" si="76"/>
        <v/>
      </c>
      <c r="F314" s="256" t="str">
        <f t="shared" si="80"/>
        <v/>
      </c>
      <c r="G314" s="159" t="str">
        <f t="shared" si="81"/>
        <v>rumus</v>
      </c>
      <c r="H314" s="39" t="s">
        <v>66</v>
      </c>
      <c r="I314" s="36"/>
      <c r="J314" s="36"/>
      <c r="K314" s="37" t="str">
        <f t="shared" si="77"/>
        <v>rumus</v>
      </c>
      <c r="L314" s="115" t="str">
        <f t="shared" si="78"/>
        <v xml:space="preserve"> </v>
      </c>
      <c r="M314" s="35"/>
    </row>
    <row r="315" spans="1:14" ht="15" hidden="1" customHeight="1" x14ac:dyDescent="0.45">
      <c r="A315" s="67">
        <v>7</v>
      </c>
      <c r="B315" s="186" t="s">
        <v>97</v>
      </c>
      <c r="C315" s="28" t="s">
        <v>108</v>
      </c>
      <c r="D315" s="28" t="str">
        <f t="shared" si="79"/>
        <v/>
      </c>
      <c r="E315" s="256" t="str">
        <f t="shared" si="76"/>
        <v/>
      </c>
      <c r="F315" s="256" t="str">
        <f t="shared" si="80"/>
        <v/>
      </c>
      <c r="G315" s="159" t="str">
        <f t="shared" si="81"/>
        <v>rumus</v>
      </c>
      <c r="H315" s="39" t="s">
        <v>66</v>
      </c>
      <c r="I315" s="36"/>
      <c r="J315" s="36"/>
      <c r="K315" s="37" t="str">
        <f t="shared" si="77"/>
        <v>rumus</v>
      </c>
      <c r="L315" s="115" t="str">
        <f t="shared" si="78"/>
        <v xml:space="preserve"> </v>
      </c>
      <c r="M315" s="35"/>
    </row>
    <row r="316" spans="1:14" ht="15" hidden="1" customHeight="1" x14ac:dyDescent="0.45">
      <c r="A316" s="67">
        <v>8</v>
      </c>
      <c r="B316" s="186" t="s">
        <v>97</v>
      </c>
      <c r="C316" s="28" t="s">
        <v>108</v>
      </c>
      <c r="D316" s="28" t="str">
        <f t="shared" si="79"/>
        <v/>
      </c>
      <c r="E316" s="256" t="str">
        <f t="shared" si="76"/>
        <v/>
      </c>
      <c r="F316" s="256" t="str">
        <f t="shared" si="80"/>
        <v/>
      </c>
      <c r="G316" s="159" t="str">
        <f t="shared" si="81"/>
        <v>rumus</v>
      </c>
      <c r="H316" s="39" t="s">
        <v>66</v>
      </c>
      <c r="I316" s="36"/>
      <c r="J316" s="36"/>
      <c r="K316" s="37" t="str">
        <f t="shared" si="77"/>
        <v>rumus</v>
      </c>
      <c r="L316" s="115" t="str">
        <f t="shared" si="78"/>
        <v xml:space="preserve"> </v>
      </c>
      <c r="M316" s="35"/>
    </row>
    <row r="317" spans="1:14" ht="15" hidden="1" customHeight="1" x14ac:dyDescent="0.45">
      <c r="A317" s="67">
        <v>9</v>
      </c>
      <c r="B317" s="186" t="s">
        <v>97</v>
      </c>
      <c r="C317" s="28" t="s">
        <v>108</v>
      </c>
      <c r="D317" s="28" t="str">
        <f t="shared" si="79"/>
        <v/>
      </c>
      <c r="E317" s="256" t="str">
        <f t="shared" si="76"/>
        <v/>
      </c>
      <c r="F317" s="256" t="str">
        <f t="shared" si="80"/>
        <v/>
      </c>
      <c r="G317" s="159" t="str">
        <f t="shared" si="81"/>
        <v>rumus</v>
      </c>
      <c r="H317" s="39" t="s">
        <v>66</v>
      </c>
      <c r="I317" s="36"/>
      <c r="J317" s="36"/>
      <c r="K317" s="37" t="str">
        <f t="shared" si="77"/>
        <v>rumus</v>
      </c>
      <c r="L317" s="115" t="str">
        <f t="shared" si="78"/>
        <v xml:space="preserve"> </v>
      </c>
      <c r="M317" s="35"/>
    </row>
    <row r="318" spans="1:14" ht="15" hidden="1" customHeight="1" x14ac:dyDescent="0.45">
      <c r="A318" s="67">
        <v>10</v>
      </c>
      <c r="B318" s="186" t="s">
        <v>97</v>
      </c>
      <c r="C318" s="28" t="s">
        <v>108</v>
      </c>
      <c r="D318" s="28" t="str">
        <f t="shared" si="79"/>
        <v/>
      </c>
      <c r="E318" s="256" t="str">
        <f t="shared" si="76"/>
        <v/>
      </c>
      <c r="F318" s="256" t="str">
        <f t="shared" si="80"/>
        <v/>
      </c>
      <c r="G318" s="159" t="str">
        <f t="shared" si="81"/>
        <v>rumus</v>
      </c>
      <c r="H318" s="39" t="s">
        <v>66</v>
      </c>
      <c r="I318" s="36"/>
      <c r="J318" s="36"/>
      <c r="K318" s="37" t="str">
        <f t="shared" si="77"/>
        <v>rumus</v>
      </c>
      <c r="L318" s="115" t="str">
        <f t="shared" si="78"/>
        <v xml:space="preserve"> </v>
      </c>
      <c r="M318" s="35"/>
    </row>
    <row r="319" spans="1:14" hidden="1" x14ac:dyDescent="0.45">
      <c r="A319" s="67"/>
      <c r="B319" s="168" t="str">
        <f>"a. Semester Gasal "&amp;IF(C320&lt;&gt;"",C320,"")&amp;" :"</f>
        <v>a. Semester Gasal 2011/2012 :</v>
      </c>
      <c r="C319" s="57"/>
      <c r="D319" s="57"/>
      <c r="E319" s="57"/>
      <c r="F319" s="57"/>
      <c r="G319" s="57"/>
      <c r="H319" s="124"/>
      <c r="I319" s="35"/>
      <c r="M319" s="25">
        <f>IF(IF((COUNTIF(L309:L318,"Pembimbing Utama Laporan akhir studi"))&lt;=10,(SUMIF(L309:L318,"Pembimbing Utama Laporan akhir studi",K309:K318)),1*10)+IF((COUNTIF(L309:L318,"Pembimbing Pendamping Laporan akhir studi"))&lt;=10,(SUMIF(L309:L318,"Pembimbing Pendamping Laporan akhir studi",K309:K318)),0.5*10)+IF((COUNTIF(L309:L318,"Pembimbing Utama Skripsi"))&lt;=8,(SUMIF(L309:L318,"Pembimbing Utama Skripsi",K309:K318)),1*8)+IF((COUNTIF(L309:L318,"Pembimbing Pendamping Skripsi"))&lt;=8,(SUMIF(L309:L318,"Pembimbing Pendamping Skripsi",K309:K318)),1*8)+IF((COUNTIF(L309:L318,"Pembimbing Utama Tesis"))&lt;=6,(SUMIF(L309:L318,"Pembimbing Utama Tesis",K309:K318)),3*6)+IF((COUNTIF(L309:L318,"Pembimbing Pendamping Tesis"))&lt;=6,(SUMIF(L309:L318,"Pembimbing Pendamping Tesis",K309:K318)),2*6)+IF((COUNTIF(L309:L318,"Pembimbing Utama Disertasi"))&lt;=4,(SUMIF(L309:L318,"Pembimbing Utama Disertasi",K309:K318)),8*4)+IF((COUNTIF(L309:L318,"Pembimbing Pendamping Disertasi"))&lt;=4,(SUMIF(L309:L318,"Pembimbing Pendamping Disertasi",K309:K318)),6*4)&lt;=32,IF((COUNTIF(L309:L318,"Pembimbing Utama Laporan akhir studi"))&lt;=10,(SUMIF(L309:L318,"Pembimbing Utama Laporan akhir studi",K309:K318)),1*10)+IF((COUNTIF(L309:L318,"Pembimbing Pendamping Laporan akhir studi"))&lt;=10,(SUMIF(L309:L318,"Pembimbing Pendamping Laporan akhir studi",K309:K318)),0.5*10)+IF((COUNTIF(L309:L318,"Pembimbing Utama Skripsi"))&lt;=8,(SUMIF(L309:L318,"Pembimbing Utama Skripsi",K309:K318)),1*8)+IF((COUNTIF(L309:L318,"Pembimbing Pendamping Skripsi"))&lt;=8,(SUMIF(L309:L318,"Pembimbing Pendamping Skripsi",K309:K318)),1*8)+IF((COUNTIF(L309:L318,"Pembimbing Utama Tesis"))&lt;=6,(SUMIF(L309:L318,"Pembimbing Utama Tesis",K309:K318)),3*6)+IF((COUNTIF(L309:L318,"Pembimbing Pendamping Tesis"))&lt;=6,(SUMIF(L309:L318,"Pembimbing Pendamping Tesis",K309:K318)),2*6)+IF((COUNTIF(L309:L318,"Pembimbing Utama Disertasi"))&lt;=4,(SUMIF(L309:L318,"Pembimbing Utama Disertasi",K309:K318)),8*4)+IF((COUNTIF(L309:L318,"Pembimbing Pendamping Disertasi"))&lt;=4,(SUMIF(L309:L318,"Pembimbing Pendamping Disertasi",K309:K318)),6*4),32)</f>
        <v>0</v>
      </c>
      <c r="N319" s="33" t="str">
        <f>"Max 32"</f>
        <v>Max 32</v>
      </c>
    </row>
    <row r="320" spans="1:14" ht="15" hidden="1" customHeight="1" x14ac:dyDescent="0.45">
      <c r="A320" s="67">
        <v>1</v>
      </c>
      <c r="B320" s="186" t="s">
        <v>97</v>
      </c>
      <c r="C320" s="28" t="s">
        <v>112</v>
      </c>
      <c r="D320" s="28" t="str">
        <f>IF(G320&lt;&gt;"rumus","Lulusan","")</f>
        <v/>
      </c>
      <c r="E320" s="256" t="str">
        <f t="shared" ref="E320:E329" si="82">IF(I320&lt;&gt;"",1,"")</f>
        <v/>
      </c>
      <c r="F320" s="256" t="str">
        <f>IF(I320&lt;&gt;"",K320,"")</f>
        <v/>
      </c>
      <c r="G320" s="159" t="str">
        <f>IF(K320&lt;&gt;"rumus","1 x "&amp;K320&amp;" = "&amp;K320,"rumus")</f>
        <v>rumus</v>
      </c>
      <c r="H320" s="28" t="s">
        <v>620</v>
      </c>
      <c r="I320" s="36"/>
      <c r="J320" s="36"/>
      <c r="K320" s="37" t="str">
        <f t="shared" ref="K320:K329" si="83">IF(AND(I320&lt;&gt;"",J320&lt;&gt;""),IF(I320="Pembimbing Utama",IF(J320="Disertasi",8,IF(J320="Tesis",3,IF(J320="Skripsi",1,IF(J320="Laporan akhir studi",1,"")))),IF(I320="Pembimbing Pendamping",IF(J320="Disertasi",6,IF(J320="Tesis",2,IF(J320="Skripsi",0.5,IF(J320="Laporan akhir studi",0.5,"")))))),"rumus")</f>
        <v>rumus</v>
      </c>
      <c r="L320" s="115" t="str">
        <f t="shared" ref="L320:L329" si="84">I320&amp;" "&amp;J320</f>
        <v xml:space="preserve"> </v>
      </c>
      <c r="M320" s="35"/>
    </row>
    <row r="321" spans="1:14" ht="15" hidden="1" customHeight="1" x14ac:dyDescent="0.45">
      <c r="A321" s="67">
        <v>2</v>
      </c>
      <c r="B321" s="186" t="s">
        <v>97</v>
      </c>
      <c r="C321" s="28" t="s">
        <v>112</v>
      </c>
      <c r="D321" s="28" t="str">
        <f t="shared" ref="D321:D329" si="85">IF(G321&lt;&gt;"rumus","Lulusan","")</f>
        <v/>
      </c>
      <c r="E321" s="256" t="str">
        <f t="shared" si="82"/>
        <v/>
      </c>
      <c r="F321" s="256" t="str">
        <f t="shared" ref="F321:F329" si="86">IF(I321&lt;&gt;"",K321,"")</f>
        <v/>
      </c>
      <c r="G321" s="159" t="str">
        <f t="shared" ref="G321:G329" si="87">IF(K321&lt;&gt;"rumus","1 x "&amp;K321&amp;" = "&amp;K321,"rumus")</f>
        <v>rumus</v>
      </c>
      <c r="H321" s="39" t="s">
        <v>66</v>
      </c>
      <c r="I321" s="36"/>
      <c r="J321" s="36"/>
      <c r="K321" s="37" t="str">
        <f t="shared" si="83"/>
        <v>rumus</v>
      </c>
      <c r="L321" s="115" t="str">
        <f t="shared" si="84"/>
        <v xml:space="preserve"> </v>
      </c>
      <c r="M321" s="35"/>
    </row>
    <row r="322" spans="1:14" ht="15" hidden="1" customHeight="1" x14ac:dyDescent="0.45">
      <c r="A322" s="67">
        <v>3</v>
      </c>
      <c r="B322" s="186" t="s">
        <v>97</v>
      </c>
      <c r="C322" s="28" t="s">
        <v>112</v>
      </c>
      <c r="D322" s="28" t="str">
        <f t="shared" si="85"/>
        <v/>
      </c>
      <c r="E322" s="256" t="str">
        <f t="shared" si="82"/>
        <v/>
      </c>
      <c r="F322" s="256" t="str">
        <f t="shared" si="86"/>
        <v/>
      </c>
      <c r="G322" s="159" t="str">
        <f t="shared" si="87"/>
        <v>rumus</v>
      </c>
      <c r="H322" s="39" t="s">
        <v>66</v>
      </c>
      <c r="I322" s="36"/>
      <c r="J322" s="36"/>
      <c r="K322" s="37" t="str">
        <f t="shared" si="83"/>
        <v>rumus</v>
      </c>
      <c r="L322" s="115" t="str">
        <f t="shared" si="84"/>
        <v xml:space="preserve"> </v>
      </c>
      <c r="M322" s="35"/>
    </row>
    <row r="323" spans="1:14" ht="15" hidden="1" customHeight="1" x14ac:dyDescent="0.45">
      <c r="A323" s="67">
        <v>4</v>
      </c>
      <c r="B323" s="186" t="s">
        <v>97</v>
      </c>
      <c r="C323" s="28" t="s">
        <v>112</v>
      </c>
      <c r="D323" s="28" t="str">
        <f t="shared" si="85"/>
        <v/>
      </c>
      <c r="E323" s="256" t="str">
        <f t="shared" si="82"/>
        <v/>
      </c>
      <c r="F323" s="256" t="str">
        <f t="shared" si="86"/>
        <v/>
      </c>
      <c r="G323" s="159" t="str">
        <f t="shared" si="87"/>
        <v>rumus</v>
      </c>
      <c r="H323" s="39" t="s">
        <v>66</v>
      </c>
      <c r="I323" s="36"/>
      <c r="J323" s="36"/>
      <c r="K323" s="37" t="str">
        <f t="shared" si="83"/>
        <v>rumus</v>
      </c>
      <c r="L323" s="115" t="str">
        <f t="shared" si="84"/>
        <v xml:space="preserve"> </v>
      </c>
      <c r="M323" s="35"/>
    </row>
    <row r="324" spans="1:14" ht="15" hidden="1" customHeight="1" x14ac:dyDescent="0.45">
      <c r="A324" s="67">
        <v>5</v>
      </c>
      <c r="B324" s="186" t="s">
        <v>97</v>
      </c>
      <c r="C324" s="28" t="s">
        <v>112</v>
      </c>
      <c r="D324" s="28" t="str">
        <f t="shared" si="85"/>
        <v/>
      </c>
      <c r="E324" s="256" t="str">
        <f t="shared" si="82"/>
        <v/>
      </c>
      <c r="F324" s="256" t="str">
        <f t="shared" si="86"/>
        <v/>
      </c>
      <c r="G324" s="159" t="str">
        <f t="shared" si="87"/>
        <v>rumus</v>
      </c>
      <c r="H324" s="39" t="s">
        <v>66</v>
      </c>
      <c r="I324" s="36"/>
      <c r="J324" s="36"/>
      <c r="K324" s="37" t="str">
        <f t="shared" si="83"/>
        <v>rumus</v>
      </c>
      <c r="L324" s="115" t="str">
        <f t="shared" si="84"/>
        <v xml:space="preserve"> </v>
      </c>
      <c r="M324" s="35"/>
    </row>
    <row r="325" spans="1:14" ht="15" hidden="1" customHeight="1" x14ac:dyDescent="0.45">
      <c r="A325" s="67">
        <v>6</v>
      </c>
      <c r="B325" s="186" t="s">
        <v>97</v>
      </c>
      <c r="C325" s="28" t="s">
        <v>112</v>
      </c>
      <c r="D325" s="28" t="str">
        <f t="shared" si="85"/>
        <v/>
      </c>
      <c r="E325" s="256" t="str">
        <f t="shared" si="82"/>
        <v/>
      </c>
      <c r="F325" s="256" t="str">
        <f t="shared" si="86"/>
        <v/>
      </c>
      <c r="G325" s="159" t="str">
        <f t="shared" si="87"/>
        <v>rumus</v>
      </c>
      <c r="H325" s="39" t="s">
        <v>66</v>
      </c>
      <c r="I325" s="36"/>
      <c r="J325" s="36"/>
      <c r="K325" s="37" t="str">
        <f t="shared" si="83"/>
        <v>rumus</v>
      </c>
      <c r="L325" s="115" t="str">
        <f t="shared" si="84"/>
        <v xml:space="preserve"> </v>
      </c>
      <c r="M325" s="35"/>
    </row>
    <row r="326" spans="1:14" ht="15" hidden="1" customHeight="1" x14ac:dyDescent="0.45">
      <c r="A326" s="67">
        <v>7</v>
      </c>
      <c r="B326" s="186" t="s">
        <v>97</v>
      </c>
      <c r="C326" s="28" t="s">
        <v>112</v>
      </c>
      <c r="D326" s="28" t="str">
        <f t="shared" si="85"/>
        <v/>
      </c>
      <c r="E326" s="256" t="str">
        <f t="shared" si="82"/>
        <v/>
      </c>
      <c r="F326" s="256" t="str">
        <f t="shared" si="86"/>
        <v/>
      </c>
      <c r="G326" s="159" t="str">
        <f t="shared" si="87"/>
        <v>rumus</v>
      </c>
      <c r="H326" s="39" t="s">
        <v>66</v>
      </c>
      <c r="I326" s="36"/>
      <c r="J326" s="36"/>
      <c r="K326" s="37" t="str">
        <f t="shared" si="83"/>
        <v>rumus</v>
      </c>
      <c r="L326" s="115" t="str">
        <f t="shared" si="84"/>
        <v xml:space="preserve"> </v>
      </c>
      <c r="M326" s="35"/>
    </row>
    <row r="327" spans="1:14" ht="15" hidden="1" customHeight="1" x14ac:dyDescent="0.45">
      <c r="A327" s="67">
        <v>8</v>
      </c>
      <c r="B327" s="186" t="s">
        <v>97</v>
      </c>
      <c r="C327" s="28" t="s">
        <v>112</v>
      </c>
      <c r="D327" s="28" t="str">
        <f t="shared" si="85"/>
        <v/>
      </c>
      <c r="E327" s="256" t="str">
        <f t="shared" si="82"/>
        <v/>
      </c>
      <c r="F327" s="256" t="str">
        <f t="shared" si="86"/>
        <v/>
      </c>
      <c r="G327" s="159" t="str">
        <f t="shared" si="87"/>
        <v>rumus</v>
      </c>
      <c r="H327" s="39" t="s">
        <v>66</v>
      </c>
      <c r="I327" s="36"/>
      <c r="J327" s="36"/>
      <c r="K327" s="37" t="str">
        <f t="shared" si="83"/>
        <v>rumus</v>
      </c>
      <c r="L327" s="115" t="str">
        <f t="shared" si="84"/>
        <v xml:space="preserve"> </v>
      </c>
      <c r="M327" s="35"/>
    </row>
    <row r="328" spans="1:14" ht="15" hidden="1" customHeight="1" x14ac:dyDescent="0.45">
      <c r="A328" s="67">
        <v>9</v>
      </c>
      <c r="B328" s="186" t="s">
        <v>97</v>
      </c>
      <c r="C328" s="28" t="s">
        <v>112</v>
      </c>
      <c r="D328" s="28" t="str">
        <f t="shared" si="85"/>
        <v/>
      </c>
      <c r="E328" s="256" t="str">
        <f t="shared" si="82"/>
        <v/>
      </c>
      <c r="F328" s="256" t="str">
        <f t="shared" si="86"/>
        <v/>
      </c>
      <c r="G328" s="159" t="str">
        <f t="shared" si="87"/>
        <v>rumus</v>
      </c>
      <c r="H328" s="39" t="s">
        <v>66</v>
      </c>
      <c r="I328" s="36"/>
      <c r="J328" s="36"/>
      <c r="K328" s="37" t="str">
        <f t="shared" si="83"/>
        <v>rumus</v>
      </c>
      <c r="L328" s="115" t="str">
        <f t="shared" si="84"/>
        <v xml:space="preserve"> </v>
      </c>
      <c r="M328" s="35"/>
    </row>
    <row r="329" spans="1:14" ht="15" hidden="1" customHeight="1" x14ac:dyDescent="0.45">
      <c r="A329" s="67">
        <v>10</v>
      </c>
      <c r="B329" s="186" t="s">
        <v>97</v>
      </c>
      <c r="C329" s="28" t="s">
        <v>112</v>
      </c>
      <c r="D329" s="28" t="str">
        <f t="shared" si="85"/>
        <v/>
      </c>
      <c r="E329" s="256" t="str">
        <f t="shared" si="82"/>
        <v/>
      </c>
      <c r="F329" s="256" t="str">
        <f t="shared" si="86"/>
        <v/>
      </c>
      <c r="G329" s="159" t="str">
        <f t="shared" si="87"/>
        <v>rumus</v>
      </c>
      <c r="H329" s="39" t="s">
        <v>66</v>
      </c>
      <c r="I329" s="36"/>
      <c r="J329" s="36"/>
      <c r="K329" s="37" t="str">
        <f t="shared" si="83"/>
        <v>rumus</v>
      </c>
      <c r="L329" s="115" t="str">
        <f t="shared" si="84"/>
        <v xml:space="preserve"> </v>
      </c>
      <c r="M329" s="35"/>
    </row>
    <row r="330" spans="1:14" hidden="1" x14ac:dyDescent="0.45">
      <c r="A330" s="67"/>
      <c r="B330" s="168" t="str">
        <f>"a. Semester Gasal "&amp;IF(C331&lt;&gt;"",C331,"")&amp;" :"</f>
        <v>a. Semester Gasal 2012/2013 :</v>
      </c>
      <c r="C330" s="57"/>
      <c r="D330" s="57"/>
      <c r="E330" s="57"/>
      <c r="F330" s="57"/>
      <c r="G330" s="57"/>
      <c r="H330" s="124"/>
      <c r="I330" s="35"/>
      <c r="M330" s="25">
        <f>IF(IF((COUNTIF(L320:L329,"Pembimbing Utama Laporan akhir studi"))&lt;=10,(SUMIF(L320:L329,"Pembimbing Utama Laporan akhir studi",K320:K329)),1*10)+IF((COUNTIF(L320:L329,"Pembimbing Pendamping Laporan akhir studi"))&lt;=10,(SUMIF(L320:L329,"Pembimbing Pendamping Laporan akhir studi",K320:K329)),0.5*10)+IF((COUNTIF(L320:L329,"Pembimbing Utama Skripsi"))&lt;=8,(SUMIF(L320:L329,"Pembimbing Utama Skripsi",K320:K329)),1*8)+IF((COUNTIF(L320:L329,"Pembimbing Pendamping Skripsi"))&lt;=8,(SUMIF(L320:L329,"Pembimbing Pendamping Skripsi",K320:K329)),1*8)+IF((COUNTIF(L320:L329,"Pembimbing Utama Tesis"))&lt;=6,(SUMIF(L320:L329,"Pembimbing Utama Tesis",K320:K329)),3*6)+IF((COUNTIF(L320:L329,"Pembimbing Pendamping Tesis"))&lt;=6,(SUMIF(L320:L329,"Pembimbing Pendamping Tesis",K320:K329)),2*6)+IF((COUNTIF(L320:L329,"Pembimbing Utama Disertasi"))&lt;=4,(SUMIF(L320:L329,"Pembimbing Utama Disertasi",K320:K329)),8*4)+IF((COUNTIF(L320:L329,"Pembimbing Pendamping Disertasi"))&lt;=4,(SUMIF(L320:L329,"Pembimbing Pendamping Disertasi",K320:K329)),6*4)&lt;=32,IF((COUNTIF(L320:L329,"Pembimbing Utama Laporan akhir studi"))&lt;=10,(SUMIF(L320:L329,"Pembimbing Utama Laporan akhir studi",K320:K329)),1*10)+IF((COUNTIF(L320:L329,"Pembimbing Pendamping Laporan akhir studi"))&lt;=10,(SUMIF(L320:L329,"Pembimbing Pendamping Laporan akhir studi",K320:K329)),0.5*10)+IF((COUNTIF(L320:L329,"Pembimbing Utama Skripsi"))&lt;=8,(SUMIF(L320:L329,"Pembimbing Utama Skripsi",K320:K329)),1*8)+IF((COUNTIF(L320:L329,"Pembimbing Pendamping Skripsi"))&lt;=8,(SUMIF(L320:L329,"Pembimbing Pendamping Skripsi",K320:K329)),1*8)+IF((COUNTIF(L320:L329,"Pembimbing Utama Tesis"))&lt;=6,(SUMIF(L320:L329,"Pembimbing Utama Tesis",K320:K329)),3*6)+IF((COUNTIF(L320:L329,"Pembimbing Pendamping Tesis"))&lt;=6,(SUMIF(L320:L329,"Pembimbing Pendamping Tesis",K320:K329)),2*6)+IF((COUNTIF(L320:L329,"Pembimbing Utama Disertasi"))&lt;=4,(SUMIF(L320:L329,"Pembimbing Utama Disertasi",K320:K329)),8*4)+IF((COUNTIF(L320:L329,"Pembimbing Pendamping Disertasi"))&lt;=4,(SUMIF(L320:L329,"Pembimbing Pendamping Disertasi",K320:K329)),6*4),32)</f>
        <v>0</v>
      </c>
      <c r="N330" s="33" t="str">
        <f>"Max 32"</f>
        <v>Max 32</v>
      </c>
    </row>
    <row r="331" spans="1:14" ht="15" hidden="1" customHeight="1" x14ac:dyDescent="0.45">
      <c r="A331" s="67">
        <v>1</v>
      </c>
      <c r="B331" s="186" t="s">
        <v>97</v>
      </c>
      <c r="C331" s="28" t="s">
        <v>113</v>
      </c>
      <c r="D331" s="28" t="str">
        <f>IF(G331&lt;&gt;"rumus","Lulusan","")</f>
        <v/>
      </c>
      <c r="E331" s="256" t="str">
        <f t="shared" ref="E331:E340" si="88">IF(I331&lt;&gt;"",1,"")</f>
        <v/>
      </c>
      <c r="F331" s="256" t="str">
        <f>IF(I331&lt;&gt;"",K331,"")</f>
        <v/>
      </c>
      <c r="G331" s="159" t="str">
        <f>IF(K331&lt;&gt;"rumus","1 x "&amp;K331&amp;" = "&amp;K331,"rumus")</f>
        <v>rumus</v>
      </c>
      <c r="H331" s="28" t="s">
        <v>620</v>
      </c>
      <c r="I331" s="36"/>
      <c r="J331" s="36"/>
      <c r="K331" s="37" t="str">
        <f t="shared" ref="K331:K340" si="89">IF(AND(I331&lt;&gt;"",J331&lt;&gt;""),IF(I331="Pembimbing Utama",IF(J331="Disertasi",8,IF(J331="Tesis",3,IF(J331="Skripsi",1,IF(J331="Laporan akhir studi",1,"")))),IF(I331="Pembimbing Pendamping",IF(J331="Disertasi",6,IF(J331="Tesis",2,IF(J331="Skripsi",0.5,IF(J331="Laporan akhir studi",0.5,"")))))),"rumus")</f>
        <v>rumus</v>
      </c>
      <c r="L331" s="115" t="str">
        <f t="shared" ref="L331:L340" si="90">I331&amp;" "&amp;J331</f>
        <v xml:space="preserve"> </v>
      </c>
      <c r="M331" s="35"/>
    </row>
    <row r="332" spans="1:14" ht="15" hidden="1" customHeight="1" x14ac:dyDescent="0.45">
      <c r="A332" s="67">
        <v>2</v>
      </c>
      <c r="B332" s="186" t="s">
        <v>97</v>
      </c>
      <c r="C332" s="28" t="s">
        <v>113</v>
      </c>
      <c r="D332" s="28" t="str">
        <f t="shared" ref="D332:D340" si="91">IF(G332&lt;&gt;"rumus","Lulusan","")</f>
        <v/>
      </c>
      <c r="E332" s="256" t="str">
        <f t="shared" si="88"/>
        <v/>
      </c>
      <c r="F332" s="256" t="str">
        <f t="shared" ref="F332:F340" si="92">IF(I332&lt;&gt;"",K332,"")</f>
        <v/>
      </c>
      <c r="G332" s="159" t="str">
        <f t="shared" ref="G332:G340" si="93">IF(K332&lt;&gt;"rumus","1 x "&amp;K332&amp;" = "&amp;K332,"rumus")</f>
        <v>rumus</v>
      </c>
      <c r="H332" s="39" t="s">
        <v>66</v>
      </c>
      <c r="I332" s="36"/>
      <c r="J332" s="36"/>
      <c r="K332" s="37" t="str">
        <f t="shared" si="89"/>
        <v>rumus</v>
      </c>
      <c r="L332" s="115" t="str">
        <f t="shared" si="90"/>
        <v xml:space="preserve"> </v>
      </c>
      <c r="M332" s="35"/>
    </row>
    <row r="333" spans="1:14" ht="15" hidden="1" customHeight="1" x14ac:dyDescent="0.45">
      <c r="A333" s="67">
        <v>3</v>
      </c>
      <c r="B333" s="186" t="s">
        <v>97</v>
      </c>
      <c r="C333" s="28" t="s">
        <v>113</v>
      </c>
      <c r="D333" s="28" t="str">
        <f t="shared" si="91"/>
        <v/>
      </c>
      <c r="E333" s="256" t="str">
        <f t="shared" si="88"/>
        <v/>
      </c>
      <c r="F333" s="256" t="str">
        <f t="shared" si="92"/>
        <v/>
      </c>
      <c r="G333" s="159" t="str">
        <f t="shared" si="93"/>
        <v>rumus</v>
      </c>
      <c r="H333" s="39" t="s">
        <v>66</v>
      </c>
      <c r="I333" s="36"/>
      <c r="J333" s="36"/>
      <c r="K333" s="37" t="str">
        <f t="shared" si="89"/>
        <v>rumus</v>
      </c>
      <c r="L333" s="115" t="str">
        <f t="shared" si="90"/>
        <v xml:space="preserve"> </v>
      </c>
      <c r="M333" s="35"/>
    </row>
    <row r="334" spans="1:14" ht="15" hidden="1" customHeight="1" x14ac:dyDescent="0.45">
      <c r="A334" s="67">
        <v>4</v>
      </c>
      <c r="B334" s="186" t="s">
        <v>97</v>
      </c>
      <c r="C334" s="28" t="s">
        <v>113</v>
      </c>
      <c r="D334" s="28" t="str">
        <f t="shared" si="91"/>
        <v/>
      </c>
      <c r="E334" s="256" t="str">
        <f t="shared" si="88"/>
        <v/>
      </c>
      <c r="F334" s="256" t="str">
        <f t="shared" si="92"/>
        <v/>
      </c>
      <c r="G334" s="159" t="str">
        <f t="shared" si="93"/>
        <v>rumus</v>
      </c>
      <c r="H334" s="39" t="s">
        <v>66</v>
      </c>
      <c r="I334" s="36"/>
      <c r="J334" s="36"/>
      <c r="K334" s="37" t="str">
        <f t="shared" si="89"/>
        <v>rumus</v>
      </c>
      <c r="L334" s="115" t="str">
        <f t="shared" si="90"/>
        <v xml:space="preserve"> </v>
      </c>
      <c r="M334" s="35"/>
    </row>
    <row r="335" spans="1:14" ht="15" hidden="1" customHeight="1" x14ac:dyDescent="0.45">
      <c r="A335" s="67">
        <v>5</v>
      </c>
      <c r="B335" s="186" t="s">
        <v>97</v>
      </c>
      <c r="C335" s="28" t="s">
        <v>113</v>
      </c>
      <c r="D335" s="28" t="str">
        <f t="shared" si="91"/>
        <v/>
      </c>
      <c r="E335" s="256" t="str">
        <f t="shared" si="88"/>
        <v/>
      </c>
      <c r="F335" s="256" t="str">
        <f t="shared" si="92"/>
        <v/>
      </c>
      <c r="G335" s="159" t="str">
        <f t="shared" si="93"/>
        <v>rumus</v>
      </c>
      <c r="H335" s="39" t="s">
        <v>66</v>
      </c>
      <c r="I335" s="36"/>
      <c r="J335" s="36"/>
      <c r="K335" s="37" t="str">
        <f t="shared" si="89"/>
        <v>rumus</v>
      </c>
      <c r="L335" s="115" t="str">
        <f t="shared" si="90"/>
        <v xml:space="preserve"> </v>
      </c>
      <c r="M335" s="35"/>
    </row>
    <row r="336" spans="1:14" ht="15" hidden="1" customHeight="1" x14ac:dyDescent="0.45">
      <c r="A336" s="67">
        <v>6</v>
      </c>
      <c r="B336" s="186" t="s">
        <v>97</v>
      </c>
      <c r="C336" s="28" t="s">
        <v>113</v>
      </c>
      <c r="D336" s="28" t="str">
        <f t="shared" si="91"/>
        <v/>
      </c>
      <c r="E336" s="256" t="str">
        <f t="shared" si="88"/>
        <v/>
      </c>
      <c r="F336" s="256" t="str">
        <f t="shared" si="92"/>
        <v/>
      </c>
      <c r="G336" s="159" t="str">
        <f t="shared" si="93"/>
        <v>rumus</v>
      </c>
      <c r="H336" s="39" t="s">
        <v>66</v>
      </c>
      <c r="I336" s="36"/>
      <c r="J336" s="36"/>
      <c r="K336" s="37" t="str">
        <f t="shared" si="89"/>
        <v>rumus</v>
      </c>
      <c r="L336" s="115" t="str">
        <f t="shared" si="90"/>
        <v xml:space="preserve"> </v>
      </c>
      <c r="M336" s="35"/>
    </row>
    <row r="337" spans="1:14" ht="15" hidden="1" customHeight="1" x14ac:dyDescent="0.45">
      <c r="A337" s="67">
        <v>7</v>
      </c>
      <c r="B337" s="186" t="s">
        <v>97</v>
      </c>
      <c r="C337" s="28" t="s">
        <v>113</v>
      </c>
      <c r="D337" s="28" t="str">
        <f t="shared" si="91"/>
        <v/>
      </c>
      <c r="E337" s="256" t="str">
        <f t="shared" si="88"/>
        <v/>
      </c>
      <c r="F337" s="256" t="str">
        <f t="shared" si="92"/>
        <v/>
      </c>
      <c r="G337" s="159" t="str">
        <f t="shared" si="93"/>
        <v>rumus</v>
      </c>
      <c r="H337" s="39" t="s">
        <v>66</v>
      </c>
      <c r="I337" s="36"/>
      <c r="J337" s="36"/>
      <c r="K337" s="37" t="str">
        <f t="shared" si="89"/>
        <v>rumus</v>
      </c>
      <c r="L337" s="115" t="str">
        <f t="shared" si="90"/>
        <v xml:space="preserve"> </v>
      </c>
      <c r="M337" s="35"/>
    </row>
    <row r="338" spans="1:14" ht="15" hidden="1" customHeight="1" x14ac:dyDescent="0.45">
      <c r="A338" s="67">
        <v>8</v>
      </c>
      <c r="B338" s="186" t="s">
        <v>97</v>
      </c>
      <c r="C338" s="28" t="s">
        <v>113</v>
      </c>
      <c r="D338" s="28" t="str">
        <f t="shared" si="91"/>
        <v/>
      </c>
      <c r="E338" s="256" t="str">
        <f t="shared" si="88"/>
        <v/>
      </c>
      <c r="F338" s="256" t="str">
        <f t="shared" si="92"/>
        <v/>
      </c>
      <c r="G338" s="159" t="str">
        <f t="shared" si="93"/>
        <v>rumus</v>
      </c>
      <c r="H338" s="39" t="s">
        <v>66</v>
      </c>
      <c r="I338" s="36"/>
      <c r="J338" s="36"/>
      <c r="K338" s="37" t="str">
        <f t="shared" si="89"/>
        <v>rumus</v>
      </c>
      <c r="L338" s="115" t="str">
        <f t="shared" si="90"/>
        <v xml:space="preserve"> </v>
      </c>
      <c r="M338" s="35"/>
    </row>
    <row r="339" spans="1:14" ht="15" hidden="1" customHeight="1" x14ac:dyDescent="0.45">
      <c r="A339" s="67">
        <v>9</v>
      </c>
      <c r="B339" s="186" t="s">
        <v>97</v>
      </c>
      <c r="C339" s="28" t="s">
        <v>113</v>
      </c>
      <c r="D339" s="28" t="str">
        <f t="shared" si="91"/>
        <v/>
      </c>
      <c r="E339" s="256" t="str">
        <f t="shared" si="88"/>
        <v/>
      </c>
      <c r="F339" s="256" t="str">
        <f t="shared" si="92"/>
        <v/>
      </c>
      <c r="G339" s="159" t="str">
        <f t="shared" si="93"/>
        <v>rumus</v>
      </c>
      <c r="H339" s="39" t="s">
        <v>66</v>
      </c>
      <c r="I339" s="36"/>
      <c r="J339" s="36"/>
      <c r="K339" s="37" t="str">
        <f t="shared" si="89"/>
        <v>rumus</v>
      </c>
      <c r="L339" s="115" t="str">
        <f t="shared" si="90"/>
        <v xml:space="preserve"> </v>
      </c>
      <c r="M339" s="35"/>
    </row>
    <row r="340" spans="1:14" ht="15" hidden="1" customHeight="1" x14ac:dyDescent="0.45">
      <c r="A340" s="67">
        <v>10</v>
      </c>
      <c r="B340" s="186" t="s">
        <v>97</v>
      </c>
      <c r="C340" s="28" t="s">
        <v>113</v>
      </c>
      <c r="D340" s="28" t="str">
        <f t="shared" si="91"/>
        <v/>
      </c>
      <c r="E340" s="256" t="str">
        <f t="shared" si="88"/>
        <v/>
      </c>
      <c r="F340" s="256" t="str">
        <f t="shared" si="92"/>
        <v/>
      </c>
      <c r="G340" s="159" t="str">
        <f t="shared" si="93"/>
        <v>rumus</v>
      </c>
      <c r="H340" s="39" t="s">
        <v>66</v>
      </c>
      <c r="I340" s="36"/>
      <c r="J340" s="36"/>
      <c r="K340" s="37" t="str">
        <f t="shared" si="89"/>
        <v>rumus</v>
      </c>
      <c r="L340" s="115" t="str">
        <f t="shared" si="90"/>
        <v xml:space="preserve"> </v>
      </c>
      <c r="M340" s="35"/>
    </row>
    <row r="341" spans="1:14" hidden="1" x14ac:dyDescent="0.45">
      <c r="A341" s="67"/>
      <c r="B341" s="168" t="str">
        <f>"a. Semester Gasal "&amp;IF(C342&lt;&gt;"",C342,"")&amp;" :"</f>
        <v>a. Semester Gasal 2013/2014 :</v>
      </c>
      <c r="C341" s="57"/>
      <c r="D341" s="57"/>
      <c r="E341" s="57"/>
      <c r="F341" s="57"/>
      <c r="G341" s="57"/>
      <c r="H341" s="124"/>
      <c r="I341" s="35"/>
      <c r="M341" s="25">
        <f>IF(IF((COUNTIF(L331:L340,"Pembimbing Utama Laporan akhir studi"))&lt;=10,(SUMIF(L331:L340,"Pembimbing Utama Laporan akhir studi",K331:K340)),1*10)+IF((COUNTIF(L331:L340,"Pembimbing Pendamping Laporan akhir studi"))&lt;=10,(SUMIF(L331:L340,"Pembimbing Pendamping Laporan akhir studi",K331:K340)),0.5*10)+IF((COUNTIF(L331:L340,"Pembimbing Utama Skripsi"))&lt;=8,(SUMIF(L331:L340,"Pembimbing Utama Skripsi",K331:K340)),1*8)+IF((COUNTIF(L331:L340,"Pembimbing Pendamping Skripsi"))&lt;=8,(SUMIF(L331:L340,"Pembimbing Pendamping Skripsi",K331:K340)),1*8)+IF((COUNTIF(L331:L340,"Pembimbing Utama Tesis"))&lt;=6,(SUMIF(L331:L340,"Pembimbing Utama Tesis",K331:K340)),3*6)+IF((COUNTIF(L331:L340,"Pembimbing Pendamping Tesis"))&lt;=6,(SUMIF(L331:L340,"Pembimbing Pendamping Tesis",K331:K340)),2*6)+IF((COUNTIF(L331:L340,"Pembimbing Utama Disertasi"))&lt;=4,(SUMIF(L331:L340,"Pembimbing Utama Disertasi",K331:K340)),8*4)+IF((COUNTIF(L331:L340,"Pembimbing Pendamping Disertasi"))&lt;=4,(SUMIF(L331:L340,"Pembimbing Pendamping Disertasi",K331:K340)),6*4)&lt;=32,IF((COUNTIF(L331:L340,"Pembimbing Utama Laporan akhir studi"))&lt;=10,(SUMIF(L331:L340,"Pembimbing Utama Laporan akhir studi",K331:K340)),1*10)+IF((COUNTIF(L331:L340,"Pembimbing Pendamping Laporan akhir studi"))&lt;=10,(SUMIF(L331:L340,"Pembimbing Pendamping Laporan akhir studi",K331:K340)),0.5*10)+IF((COUNTIF(L331:L340,"Pembimbing Utama Skripsi"))&lt;=8,(SUMIF(L331:L340,"Pembimbing Utama Skripsi",K331:K340)),1*8)+IF((COUNTIF(L331:L340,"Pembimbing Pendamping Skripsi"))&lt;=8,(SUMIF(L331:L340,"Pembimbing Pendamping Skripsi",K331:K340)),1*8)+IF((COUNTIF(L331:L340,"Pembimbing Utama Tesis"))&lt;=6,(SUMIF(L331:L340,"Pembimbing Utama Tesis",K331:K340)),3*6)+IF((COUNTIF(L331:L340,"Pembimbing Pendamping Tesis"))&lt;=6,(SUMIF(L331:L340,"Pembimbing Pendamping Tesis",K331:K340)),2*6)+IF((COUNTIF(L331:L340,"Pembimbing Utama Disertasi"))&lt;=4,(SUMIF(L331:L340,"Pembimbing Utama Disertasi",K331:K340)),8*4)+IF((COUNTIF(L331:L340,"Pembimbing Pendamping Disertasi"))&lt;=4,(SUMIF(L331:L340,"Pembimbing Pendamping Disertasi",K331:K340)),6*4),32)</f>
        <v>0</v>
      </c>
      <c r="N341" s="33" t="str">
        <f>"Max 32"</f>
        <v>Max 32</v>
      </c>
    </row>
    <row r="342" spans="1:14" ht="15" hidden="1" customHeight="1" x14ac:dyDescent="0.45">
      <c r="A342" s="67">
        <v>1</v>
      </c>
      <c r="B342" s="186" t="s">
        <v>97</v>
      </c>
      <c r="C342" s="28" t="s">
        <v>114</v>
      </c>
      <c r="D342" s="28" t="str">
        <f>IF(G342&lt;&gt;"rumus","Lulusan","")</f>
        <v/>
      </c>
      <c r="E342" s="256" t="str">
        <f t="shared" ref="E342:E351" si="94">IF(I342&lt;&gt;"",1,"")</f>
        <v/>
      </c>
      <c r="F342" s="256" t="str">
        <f>IF(I342&lt;&gt;"",K342,"")</f>
        <v/>
      </c>
      <c r="G342" s="159" t="str">
        <f>IF(K342&lt;&gt;"rumus","1 x "&amp;K342&amp;" = "&amp;K342,"rumus")</f>
        <v>rumus</v>
      </c>
      <c r="H342" s="28" t="s">
        <v>620</v>
      </c>
      <c r="I342" s="36"/>
      <c r="J342" s="36"/>
      <c r="K342" s="37" t="str">
        <f t="shared" ref="K342:K351" si="95">IF(AND(I342&lt;&gt;"",J342&lt;&gt;""),IF(I342="Pembimbing Utama",IF(J342="Disertasi",8,IF(J342="Tesis",3,IF(J342="Skripsi",1,IF(J342="Laporan akhir studi",1,"")))),IF(I342="Pembimbing Pendamping",IF(J342="Disertasi",6,IF(J342="Tesis",2,IF(J342="Skripsi",0.5,IF(J342="Laporan akhir studi",0.5,"")))))),"rumus")</f>
        <v>rumus</v>
      </c>
      <c r="L342" s="115" t="str">
        <f t="shared" ref="L342:L351" si="96">I342&amp;" "&amp;J342</f>
        <v xml:space="preserve"> </v>
      </c>
      <c r="M342" s="35"/>
    </row>
    <row r="343" spans="1:14" ht="15" hidden="1" customHeight="1" x14ac:dyDescent="0.45">
      <c r="A343" s="67">
        <v>2</v>
      </c>
      <c r="B343" s="186" t="s">
        <v>97</v>
      </c>
      <c r="C343" s="28" t="s">
        <v>114</v>
      </c>
      <c r="D343" s="28" t="str">
        <f t="shared" ref="D343:D351" si="97">IF(G343&lt;&gt;"rumus","Lulusan","")</f>
        <v/>
      </c>
      <c r="E343" s="256" t="str">
        <f t="shared" si="94"/>
        <v/>
      </c>
      <c r="F343" s="256" t="str">
        <f t="shared" ref="F343:F351" si="98">IF(I343&lt;&gt;"",K343,"")</f>
        <v/>
      </c>
      <c r="G343" s="159" t="str">
        <f t="shared" ref="G343:G351" si="99">IF(K343&lt;&gt;"rumus","1 x "&amp;K343&amp;" = "&amp;K343,"rumus")</f>
        <v>rumus</v>
      </c>
      <c r="H343" s="39" t="s">
        <v>66</v>
      </c>
      <c r="I343" s="36"/>
      <c r="J343" s="36"/>
      <c r="K343" s="37" t="str">
        <f t="shared" si="95"/>
        <v>rumus</v>
      </c>
      <c r="L343" s="115" t="str">
        <f t="shared" si="96"/>
        <v xml:space="preserve"> </v>
      </c>
      <c r="M343" s="35"/>
    </row>
    <row r="344" spans="1:14" ht="15" hidden="1" customHeight="1" x14ac:dyDescent="0.45">
      <c r="A344" s="67">
        <v>3</v>
      </c>
      <c r="B344" s="186" t="s">
        <v>97</v>
      </c>
      <c r="C344" s="28" t="s">
        <v>114</v>
      </c>
      <c r="D344" s="28" t="str">
        <f t="shared" si="97"/>
        <v/>
      </c>
      <c r="E344" s="256" t="str">
        <f t="shared" si="94"/>
        <v/>
      </c>
      <c r="F344" s="256" t="str">
        <f t="shared" si="98"/>
        <v/>
      </c>
      <c r="G344" s="159" t="str">
        <f t="shared" si="99"/>
        <v>rumus</v>
      </c>
      <c r="H344" s="39" t="s">
        <v>66</v>
      </c>
      <c r="I344" s="36"/>
      <c r="J344" s="36"/>
      <c r="K344" s="37" t="str">
        <f t="shared" si="95"/>
        <v>rumus</v>
      </c>
      <c r="L344" s="115" t="str">
        <f t="shared" si="96"/>
        <v xml:space="preserve"> </v>
      </c>
      <c r="M344" s="35"/>
    </row>
    <row r="345" spans="1:14" ht="15" hidden="1" customHeight="1" x14ac:dyDescent="0.45">
      <c r="A345" s="67">
        <v>4</v>
      </c>
      <c r="B345" s="186" t="s">
        <v>97</v>
      </c>
      <c r="C345" s="28" t="s">
        <v>114</v>
      </c>
      <c r="D345" s="28" t="str">
        <f t="shared" si="97"/>
        <v/>
      </c>
      <c r="E345" s="256" t="str">
        <f t="shared" si="94"/>
        <v/>
      </c>
      <c r="F345" s="256" t="str">
        <f t="shared" si="98"/>
        <v/>
      </c>
      <c r="G345" s="159" t="str">
        <f t="shared" si="99"/>
        <v>rumus</v>
      </c>
      <c r="H345" s="39" t="s">
        <v>66</v>
      </c>
      <c r="I345" s="36"/>
      <c r="J345" s="36"/>
      <c r="K345" s="37" t="str">
        <f t="shared" si="95"/>
        <v>rumus</v>
      </c>
      <c r="L345" s="115" t="str">
        <f t="shared" si="96"/>
        <v xml:space="preserve"> </v>
      </c>
      <c r="M345" s="35"/>
    </row>
    <row r="346" spans="1:14" ht="15" hidden="1" customHeight="1" x14ac:dyDescent="0.45">
      <c r="A346" s="67">
        <v>5</v>
      </c>
      <c r="B346" s="186" t="s">
        <v>97</v>
      </c>
      <c r="C346" s="28" t="s">
        <v>114</v>
      </c>
      <c r="D346" s="28" t="str">
        <f t="shared" si="97"/>
        <v/>
      </c>
      <c r="E346" s="256" t="str">
        <f t="shared" si="94"/>
        <v/>
      </c>
      <c r="F346" s="256" t="str">
        <f t="shared" si="98"/>
        <v/>
      </c>
      <c r="G346" s="159" t="str">
        <f t="shared" si="99"/>
        <v>rumus</v>
      </c>
      <c r="H346" s="39" t="s">
        <v>66</v>
      </c>
      <c r="I346" s="36"/>
      <c r="J346" s="36"/>
      <c r="K346" s="37" t="str">
        <f t="shared" si="95"/>
        <v>rumus</v>
      </c>
      <c r="L346" s="115" t="str">
        <f t="shared" si="96"/>
        <v xml:space="preserve"> </v>
      </c>
      <c r="M346" s="35"/>
    </row>
    <row r="347" spans="1:14" ht="15" hidden="1" customHeight="1" x14ac:dyDescent="0.45">
      <c r="A347" s="67">
        <v>6</v>
      </c>
      <c r="B347" s="186" t="s">
        <v>97</v>
      </c>
      <c r="C347" s="28" t="s">
        <v>114</v>
      </c>
      <c r="D347" s="28" t="str">
        <f t="shared" si="97"/>
        <v/>
      </c>
      <c r="E347" s="256" t="str">
        <f t="shared" si="94"/>
        <v/>
      </c>
      <c r="F347" s="256" t="str">
        <f t="shared" si="98"/>
        <v/>
      </c>
      <c r="G347" s="159" t="str">
        <f t="shared" si="99"/>
        <v>rumus</v>
      </c>
      <c r="H347" s="39" t="s">
        <v>66</v>
      </c>
      <c r="I347" s="36"/>
      <c r="J347" s="36"/>
      <c r="K347" s="37" t="str">
        <f t="shared" si="95"/>
        <v>rumus</v>
      </c>
      <c r="L347" s="115" t="str">
        <f t="shared" si="96"/>
        <v xml:space="preserve"> </v>
      </c>
      <c r="M347" s="35"/>
    </row>
    <row r="348" spans="1:14" ht="15" hidden="1" customHeight="1" x14ac:dyDescent="0.45">
      <c r="A348" s="67">
        <v>7</v>
      </c>
      <c r="B348" s="186" t="s">
        <v>97</v>
      </c>
      <c r="C348" s="28" t="s">
        <v>114</v>
      </c>
      <c r="D348" s="28" t="str">
        <f t="shared" si="97"/>
        <v/>
      </c>
      <c r="E348" s="256" t="str">
        <f t="shared" si="94"/>
        <v/>
      </c>
      <c r="F348" s="256" t="str">
        <f t="shared" si="98"/>
        <v/>
      </c>
      <c r="G348" s="159" t="str">
        <f t="shared" si="99"/>
        <v>rumus</v>
      </c>
      <c r="H348" s="39" t="s">
        <v>66</v>
      </c>
      <c r="I348" s="36"/>
      <c r="J348" s="36"/>
      <c r="K348" s="37" t="str">
        <f t="shared" si="95"/>
        <v>rumus</v>
      </c>
      <c r="L348" s="115" t="str">
        <f t="shared" si="96"/>
        <v xml:space="preserve"> </v>
      </c>
      <c r="M348" s="35"/>
    </row>
    <row r="349" spans="1:14" ht="15" hidden="1" customHeight="1" x14ac:dyDescent="0.45">
      <c r="A349" s="67">
        <v>8</v>
      </c>
      <c r="B349" s="186" t="s">
        <v>97</v>
      </c>
      <c r="C349" s="28" t="s">
        <v>114</v>
      </c>
      <c r="D349" s="28" t="str">
        <f t="shared" si="97"/>
        <v/>
      </c>
      <c r="E349" s="256" t="str">
        <f t="shared" si="94"/>
        <v/>
      </c>
      <c r="F349" s="256" t="str">
        <f t="shared" si="98"/>
        <v/>
      </c>
      <c r="G349" s="159" t="str">
        <f t="shared" si="99"/>
        <v>rumus</v>
      </c>
      <c r="H349" s="39" t="s">
        <v>66</v>
      </c>
      <c r="I349" s="36"/>
      <c r="J349" s="36"/>
      <c r="K349" s="37" t="str">
        <f t="shared" si="95"/>
        <v>rumus</v>
      </c>
      <c r="L349" s="115" t="str">
        <f t="shared" si="96"/>
        <v xml:space="preserve"> </v>
      </c>
      <c r="M349" s="35"/>
    </row>
    <row r="350" spans="1:14" ht="15" hidden="1" customHeight="1" x14ac:dyDescent="0.45">
      <c r="A350" s="67">
        <v>9</v>
      </c>
      <c r="B350" s="186" t="s">
        <v>97</v>
      </c>
      <c r="C350" s="28" t="s">
        <v>114</v>
      </c>
      <c r="D350" s="28" t="str">
        <f t="shared" si="97"/>
        <v/>
      </c>
      <c r="E350" s="256" t="str">
        <f t="shared" si="94"/>
        <v/>
      </c>
      <c r="F350" s="256" t="str">
        <f t="shared" si="98"/>
        <v/>
      </c>
      <c r="G350" s="159" t="str">
        <f t="shared" si="99"/>
        <v>rumus</v>
      </c>
      <c r="H350" s="39" t="s">
        <v>66</v>
      </c>
      <c r="I350" s="36"/>
      <c r="J350" s="36"/>
      <c r="K350" s="37" t="str">
        <f t="shared" si="95"/>
        <v>rumus</v>
      </c>
      <c r="L350" s="115" t="str">
        <f t="shared" si="96"/>
        <v xml:space="preserve"> </v>
      </c>
      <c r="M350" s="35"/>
    </row>
    <row r="351" spans="1:14" ht="15" hidden="1" customHeight="1" x14ac:dyDescent="0.45">
      <c r="A351" s="67">
        <v>10</v>
      </c>
      <c r="B351" s="186" t="s">
        <v>97</v>
      </c>
      <c r="C351" s="28" t="s">
        <v>114</v>
      </c>
      <c r="D351" s="28" t="str">
        <f t="shared" si="97"/>
        <v/>
      </c>
      <c r="E351" s="256" t="str">
        <f t="shared" si="94"/>
        <v/>
      </c>
      <c r="F351" s="256" t="str">
        <f t="shared" si="98"/>
        <v/>
      </c>
      <c r="G351" s="159" t="str">
        <f t="shared" si="99"/>
        <v>rumus</v>
      </c>
      <c r="H351" s="39" t="s">
        <v>66</v>
      </c>
      <c r="I351" s="36"/>
      <c r="J351" s="36"/>
      <c r="K351" s="37" t="str">
        <f t="shared" si="95"/>
        <v>rumus</v>
      </c>
      <c r="L351" s="115" t="str">
        <f t="shared" si="96"/>
        <v xml:space="preserve"> </v>
      </c>
      <c r="M351" s="35"/>
    </row>
    <row r="352" spans="1:14" hidden="1" x14ac:dyDescent="0.45">
      <c r="A352" s="67"/>
      <c r="B352" s="168" t="str">
        <f>"a. Semester Gasal "&amp;IF(C353&lt;&gt;"",C353,"")&amp;" :"</f>
        <v>a. Semester Gasal 2014/2015 :</v>
      </c>
      <c r="C352" s="57"/>
      <c r="D352" s="57"/>
      <c r="E352" s="57"/>
      <c r="F352" s="57"/>
      <c r="G352" s="57"/>
      <c r="H352" s="114"/>
      <c r="I352" s="35"/>
      <c r="M352" s="25">
        <f>IF(IF((COUNTIF(L342:L351,"Pembimbing Utama Laporan akhir studi"))&lt;=10,(SUMIF(L342:L351,"Pembimbing Utama Laporan akhir studi",K342:K351)),1*10)+IF((COUNTIF(L342:L351,"Pembimbing Pendamping Laporan akhir studi"))&lt;=10,(SUMIF(L342:L351,"Pembimbing Pendamping Laporan akhir studi",K342:K351)),0.5*10)+IF((COUNTIF(L342:L351,"Pembimbing Utama Skripsi"))&lt;=8,(SUMIF(L342:L351,"Pembimbing Utama Skripsi",K342:K351)),1*8)+IF((COUNTIF(L342:L351,"Pembimbing Pendamping Skripsi"))&lt;=8,(SUMIF(L342:L351,"Pembimbing Pendamping Skripsi",K342:K351)),1*8)+IF((COUNTIF(L342:L351,"Pembimbing Utama Tesis"))&lt;=6,(SUMIF(L342:L351,"Pembimbing Utama Tesis",K342:K351)),3*6)+IF((COUNTIF(L342:L351,"Pembimbing Pendamping Tesis"))&lt;=6,(SUMIF(L342:L351,"Pembimbing Pendamping Tesis",K342:K351)),2*6)+IF((COUNTIF(L342:L351,"Pembimbing Utama Disertasi"))&lt;=4,(SUMIF(L342:L351,"Pembimbing Utama Disertasi",K342:K351)),8*4)+IF((COUNTIF(L342:L351,"Pembimbing Pendamping Disertasi"))&lt;=4,(SUMIF(L342:L351,"Pembimbing Pendamping Disertasi",K342:K351)),6*4)&lt;=32,IF((COUNTIF(L342:L351,"Pembimbing Utama Laporan akhir studi"))&lt;=10,(SUMIF(L342:L351,"Pembimbing Utama Laporan akhir studi",K342:K351)),1*10)+IF((COUNTIF(L342:L351,"Pembimbing Pendamping Laporan akhir studi"))&lt;=10,(SUMIF(L342:L351,"Pembimbing Pendamping Laporan akhir studi",K342:K351)),0.5*10)+IF((COUNTIF(L342:L351,"Pembimbing Utama Skripsi"))&lt;=8,(SUMIF(L342:L351,"Pembimbing Utama Skripsi",K342:K351)),1*8)+IF((COUNTIF(L342:L351,"Pembimbing Pendamping Skripsi"))&lt;=8,(SUMIF(L342:L351,"Pembimbing Pendamping Skripsi",K342:K351)),1*8)+IF((COUNTIF(L342:L351,"Pembimbing Utama Tesis"))&lt;=6,(SUMIF(L342:L351,"Pembimbing Utama Tesis",K342:K351)),3*6)+IF((COUNTIF(L342:L351,"Pembimbing Pendamping Tesis"))&lt;=6,(SUMIF(L342:L351,"Pembimbing Pendamping Tesis",K342:K351)),2*6)+IF((COUNTIF(L342:L351,"Pembimbing Utama Disertasi"))&lt;=4,(SUMIF(L342:L351,"Pembimbing Utama Disertasi",K342:K351)),8*4)+IF((COUNTIF(L342:L351,"Pembimbing Pendamping Disertasi"))&lt;=4,(SUMIF(L342:L351,"Pembimbing Pendamping Disertasi",K342:K351)),6*4),32)</f>
        <v>0</v>
      </c>
      <c r="N352" s="33" t="str">
        <f>"Max 32"</f>
        <v>Max 32</v>
      </c>
    </row>
    <row r="353" spans="1:17" hidden="1" x14ac:dyDescent="0.45">
      <c r="A353" s="67">
        <v>1</v>
      </c>
      <c r="B353" s="186" t="s">
        <v>97</v>
      </c>
      <c r="C353" s="28" t="s">
        <v>251</v>
      </c>
      <c r="D353" s="28" t="str">
        <f>IF(G353&lt;&gt;"rumus","Lulusan","")</f>
        <v/>
      </c>
      <c r="E353" s="256" t="str">
        <f t="shared" ref="E353:E362" si="100">IF(I353&lt;&gt;"",1,"")</f>
        <v/>
      </c>
      <c r="F353" s="256" t="str">
        <f>IF(I353&lt;&gt;"",K353,"")</f>
        <v/>
      </c>
      <c r="G353" s="159" t="str">
        <f>IF(K353&lt;&gt;"rumus","1 x "&amp;K353&amp;" = "&amp;K353,"rumus")</f>
        <v>rumus</v>
      </c>
      <c r="H353" s="28" t="s">
        <v>620</v>
      </c>
      <c r="I353" s="36"/>
      <c r="J353" s="36"/>
      <c r="K353" s="37" t="str">
        <f t="shared" ref="K353:K361" si="101">IF(AND(I353&lt;&gt;"",J353&lt;&gt;""),IF(I353="Pembimbing Utama",IF(J353="Disertasi",8,IF(J353="Tesis",3,IF(J353="Skripsi",1,IF(J353="Laporan akhir studi",1,"")))),IF(I353="Pembimbing Pendamping",IF(J353="Disertasi",6,IF(J353="Tesis",2,IF(J353="Skripsi",0.5,IF(J353="Laporan akhir studi",0.5,"")))))),"rumus")</f>
        <v>rumus</v>
      </c>
      <c r="L353" s="115" t="str">
        <f t="shared" ref="L353:L361" si="102">I353&amp;" "&amp;J353</f>
        <v xml:space="preserve"> </v>
      </c>
      <c r="M353" s="35"/>
    </row>
    <row r="354" spans="1:17" hidden="1" x14ac:dyDescent="0.45">
      <c r="A354" s="67">
        <v>2</v>
      </c>
      <c r="B354" s="186" t="s">
        <v>97</v>
      </c>
      <c r="C354" s="28" t="s">
        <v>251</v>
      </c>
      <c r="D354" s="28" t="str">
        <f t="shared" ref="D354:D362" si="103">IF(G354&lt;&gt;"rumus","Lulusan","")</f>
        <v/>
      </c>
      <c r="E354" s="256" t="str">
        <f t="shared" si="100"/>
        <v/>
      </c>
      <c r="F354" s="256" t="str">
        <f t="shared" ref="F354:F362" si="104">IF(I354&lt;&gt;"",K354,"")</f>
        <v/>
      </c>
      <c r="G354" s="159" t="str">
        <f t="shared" ref="G354:G362" si="105">IF(K354&lt;&gt;"rumus","1 x "&amp;K354&amp;" = "&amp;K354,"rumus")</f>
        <v>rumus</v>
      </c>
      <c r="H354" s="39" t="s">
        <v>66</v>
      </c>
      <c r="I354" s="36"/>
      <c r="J354" s="36"/>
      <c r="K354" s="37" t="str">
        <f t="shared" si="101"/>
        <v>rumus</v>
      </c>
      <c r="L354" s="115" t="str">
        <f t="shared" si="102"/>
        <v xml:space="preserve"> </v>
      </c>
      <c r="M354" s="35"/>
    </row>
    <row r="355" spans="1:17" hidden="1" x14ac:dyDescent="0.45">
      <c r="A355" s="67">
        <v>3</v>
      </c>
      <c r="B355" s="186" t="s">
        <v>97</v>
      </c>
      <c r="C355" s="28" t="s">
        <v>251</v>
      </c>
      <c r="D355" s="28" t="str">
        <f t="shared" si="103"/>
        <v/>
      </c>
      <c r="E355" s="256" t="str">
        <f t="shared" si="100"/>
        <v/>
      </c>
      <c r="F355" s="256" t="str">
        <f t="shared" si="104"/>
        <v/>
      </c>
      <c r="G355" s="159" t="str">
        <f t="shared" si="105"/>
        <v>rumus</v>
      </c>
      <c r="H355" s="39" t="s">
        <v>66</v>
      </c>
      <c r="I355" s="36"/>
      <c r="J355" s="36"/>
      <c r="K355" s="37" t="str">
        <f t="shared" si="101"/>
        <v>rumus</v>
      </c>
      <c r="L355" s="115" t="str">
        <f t="shared" si="102"/>
        <v xml:space="preserve"> </v>
      </c>
      <c r="M355" s="35"/>
    </row>
    <row r="356" spans="1:17" hidden="1" x14ac:dyDescent="0.45">
      <c r="A356" s="67">
        <v>4</v>
      </c>
      <c r="B356" s="186" t="s">
        <v>97</v>
      </c>
      <c r="C356" s="28" t="s">
        <v>251</v>
      </c>
      <c r="D356" s="28" t="str">
        <f t="shared" si="103"/>
        <v/>
      </c>
      <c r="E356" s="256" t="str">
        <f t="shared" si="100"/>
        <v/>
      </c>
      <c r="F356" s="256" t="str">
        <f t="shared" si="104"/>
        <v/>
      </c>
      <c r="G356" s="159" t="str">
        <f t="shared" si="105"/>
        <v>rumus</v>
      </c>
      <c r="H356" s="39" t="s">
        <v>66</v>
      </c>
      <c r="I356" s="36"/>
      <c r="J356" s="36"/>
      <c r="K356" s="37" t="str">
        <f t="shared" si="101"/>
        <v>rumus</v>
      </c>
      <c r="L356" s="115" t="str">
        <f t="shared" si="102"/>
        <v xml:space="preserve"> </v>
      </c>
      <c r="M356" s="35"/>
    </row>
    <row r="357" spans="1:17" hidden="1" x14ac:dyDescent="0.45">
      <c r="A357" s="67">
        <v>5</v>
      </c>
      <c r="B357" s="186" t="s">
        <v>97</v>
      </c>
      <c r="C357" s="28" t="s">
        <v>251</v>
      </c>
      <c r="D357" s="28" t="str">
        <f t="shared" si="103"/>
        <v/>
      </c>
      <c r="E357" s="256" t="str">
        <f t="shared" si="100"/>
        <v/>
      </c>
      <c r="F357" s="256" t="str">
        <f t="shared" si="104"/>
        <v/>
      </c>
      <c r="G357" s="159" t="str">
        <f t="shared" si="105"/>
        <v>rumus</v>
      </c>
      <c r="H357" s="39" t="s">
        <v>66</v>
      </c>
      <c r="I357" s="36"/>
      <c r="J357" s="36"/>
      <c r="K357" s="37" t="str">
        <f t="shared" si="101"/>
        <v>rumus</v>
      </c>
      <c r="L357" s="115" t="str">
        <f t="shared" si="102"/>
        <v xml:space="preserve"> </v>
      </c>
      <c r="M357" s="35"/>
    </row>
    <row r="358" spans="1:17" hidden="1" x14ac:dyDescent="0.45">
      <c r="A358" s="67">
        <v>6</v>
      </c>
      <c r="B358" s="186" t="s">
        <v>97</v>
      </c>
      <c r="C358" s="28" t="s">
        <v>251</v>
      </c>
      <c r="D358" s="28" t="str">
        <f t="shared" si="103"/>
        <v/>
      </c>
      <c r="E358" s="256" t="str">
        <f t="shared" si="100"/>
        <v/>
      </c>
      <c r="F358" s="256" t="str">
        <f t="shared" si="104"/>
        <v/>
      </c>
      <c r="G358" s="159" t="str">
        <f t="shared" si="105"/>
        <v>rumus</v>
      </c>
      <c r="H358" s="39" t="s">
        <v>66</v>
      </c>
      <c r="I358" s="36"/>
      <c r="J358" s="36"/>
      <c r="K358" s="37" t="str">
        <f t="shared" si="101"/>
        <v>rumus</v>
      </c>
      <c r="L358" s="115" t="str">
        <f t="shared" si="102"/>
        <v xml:space="preserve"> </v>
      </c>
      <c r="M358" s="35"/>
    </row>
    <row r="359" spans="1:17" hidden="1" x14ac:dyDescent="0.45">
      <c r="A359" s="67">
        <v>7</v>
      </c>
      <c r="B359" s="186" t="s">
        <v>97</v>
      </c>
      <c r="C359" s="28" t="s">
        <v>251</v>
      </c>
      <c r="D359" s="28" t="str">
        <f t="shared" si="103"/>
        <v/>
      </c>
      <c r="E359" s="256" t="str">
        <f t="shared" si="100"/>
        <v/>
      </c>
      <c r="F359" s="256" t="str">
        <f t="shared" si="104"/>
        <v/>
      </c>
      <c r="G359" s="159" t="str">
        <f t="shared" si="105"/>
        <v>rumus</v>
      </c>
      <c r="H359" s="39" t="s">
        <v>66</v>
      </c>
      <c r="I359" s="36"/>
      <c r="J359" s="36"/>
      <c r="K359" s="37" t="str">
        <f t="shared" si="101"/>
        <v>rumus</v>
      </c>
      <c r="L359" s="115" t="str">
        <f t="shared" si="102"/>
        <v xml:space="preserve"> </v>
      </c>
      <c r="M359" s="35"/>
    </row>
    <row r="360" spans="1:17" hidden="1" x14ac:dyDescent="0.45">
      <c r="A360" s="67">
        <v>8</v>
      </c>
      <c r="B360" s="186" t="s">
        <v>97</v>
      </c>
      <c r="C360" s="28" t="s">
        <v>251</v>
      </c>
      <c r="D360" s="28" t="str">
        <f t="shared" si="103"/>
        <v/>
      </c>
      <c r="E360" s="256" t="str">
        <f t="shared" si="100"/>
        <v/>
      </c>
      <c r="F360" s="256" t="str">
        <f t="shared" si="104"/>
        <v/>
      </c>
      <c r="G360" s="159" t="str">
        <f t="shared" si="105"/>
        <v>rumus</v>
      </c>
      <c r="H360" s="39" t="s">
        <v>66</v>
      </c>
      <c r="I360" s="36"/>
      <c r="J360" s="36"/>
      <c r="K360" s="37" t="str">
        <f t="shared" si="101"/>
        <v>rumus</v>
      </c>
      <c r="L360" s="115" t="str">
        <f t="shared" si="102"/>
        <v xml:space="preserve"> </v>
      </c>
      <c r="M360" s="35"/>
    </row>
    <row r="361" spans="1:17" hidden="1" x14ac:dyDescent="0.45">
      <c r="A361" s="67">
        <v>9</v>
      </c>
      <c r="B361" s="186" t="s">
        <v>97</v>
      </c>
      <c r="C361" s="28" t="s">
        <v>251</v>
      </c>
      <c r="D361" s="28" t="str">
        <f t="shared" si="103"/>
        <v/>
      </c>
      <c r="E361" s="256" t="str">
        <f t="shared" si="100"/>
        <v/>
      </c>
      <c r="F361" s="256" t="str">
        <f t="shared" si="104"/>
        <v/>
      </c>
      <c r="G361" s="159" t="str">
        <f t="shared" si="105"/>
        <v>rumus</v>
      </c>
      <c r="H361" s="39" t="s">
        <v>66</v>
      </c>
      <c r="I361" s="36"/>
      <c r="J361" s="36"/>
      <c r="K361" s="37" t="str">
        <f t="shared" si="101"/>
        <v>rumus</v>
      </c>
      <c r="L361" s="115" t="str">
        <f t="shared" si="102"/>
        <v xml:space="preserve"> </v>
      </c>
      <c r="M361" s="35"/>
    </row>
    <row r="362" spans="1:17" hidden="1" x14ac:dyDescent="0.45">
      <c r="A362" s="67">
        <v>10</v>
      </c>
      <c r="B362" s="186" t="s">
        <v>97</v>
      </c>
      <c r="C362" s="28" t="s">
        <v>251</v>
      </c>
      <c r="D362" s="28" t="str">
        <f t="shared" si="103"/>
        <v/>
      </c>
      <c r="E362" s="256" t="str">
        <f t="shared" si="100"/>
        <v/>
      </c>
      <c r="F362" s="256" t="str">
        <f t="shared" si="104"/>
        <v/>
      </c>
      <c r="G362" s="159" t="str">
        <f t="shared" si="105"/>
        <v>rumus</v>
      </c>
      <c r="H362" s="39" t="s">
        <v>66</v>
      </c>
      <c r="I362" s="36"/>
      <c r="J362" s="36"/>
      <c r="K362" s="37" t="str">
        <f>IF(AND(I362&lt;&gt;"",J362&lt;&gt;""),IF(I362="Pembimbing Utama",IF(J362="Disertasi",8,IF(J362="Tesis",3,IF(J362="Skripsi",1,IF(J362="Laporan akhir studi",1,"")))),IF(I362="Pembimbing Pendamping",IF(J362="Disertasi",6,IF(J362="Tesis",2,IF(J362="Skripsi",0.5,IF(J362="Laporan akhir studi",0.5,"")))))),"rumus")</f>
        <v>rumus</v>
      </c>
      <c r="L362" s="115" t="str">
        <f>I362&amp;" "&amp;J362</f>
        <v xml:space="preserve"> </v>
      </c>
      <c r="M362" s="35"/>
    </row>
    <row r="363" spans="1:17" ht="15" hidden="1" customHeight="1" x14ac:dyDescent="0.45">
      <c r="A363" s="67"/>
      <c r="B363" s="168" t="str">
        <f>"a. Semester Gasal "&amp;IF(C364&lt;&gt;"",C364,"")&amp;" :"</f>
        <v>a. Semester Gasal 2015/2016 :</v>
      </c>
      <c r="C363" s="30"/>
      <c r="D363" s="30"/>
      <c r="E363" s="30"/>
      <c r="F363" s="30"/>
      <c r="G363" s="30"/>
      <c r="H363" s="54"/>
      <c r="I363" s="40"/>
      <c r="J363" s="104"/>
      <c r="M363" s="25">
        <f>IF(IF((COUNTIF(L353:L362,"Pembimbing Utama Laporan akhir studi"))&lt;=10,(SUMIF(L353:L362,"Pembimbing Utama Laporan akhir studi",K353:K362)),1*10)+IF((COUNTIF(L353:L362,"Pembimbing Pendamping Laporan akhir studi"))&lt;=10,(SUMIF(L353:L362,"Pembimbing Pendamping Laporan akhir studi",K353:K362)),0.5*10)+IF((COUNTIF(L353:L362,"Pembimbing Utama Skripsi"))&lt;=8,(SUMIF(L353:L362,"Pembimbing Utama Skripsi",K353:K362)),1*8)+IF((COUNTIF(L353:L362,"Pembimbing Pendamping Skripsi"))&lt;=8,(SUMIF(L353:L362,"Pembimbing Pendamping Skripsi",K353:K362)),1*8)+IF((COUNTIF(L353:L362,"Pembimbing Utama Tesis"))&lt;=6,(SUMIF(L353:L362,"Pembimbing Utama Tesis",K353:K362)),3*6)+IF((COUNTIF(L353:L362,"Pembimbing Pendamping Tesis"))&lt;=6,(SUMIF(L353:L362,"Pembimbing Pendamping Tesis",K353:K362)),2*6)+IF((COUNTIF(L353:L362,"Pembimbing Utama Disertasi"))&lt;=4,(SUMIF(L353:L362,"Pembimbing Utama Disertasi",K353:K362)),8*4)+IF((COUNTIF(L353:L362,"Pembimbing Pendamping Disertasi"))&lt;=4,(SUMIF(L353:L362,"Pembimbing Pendamping Disertasi",K353:K362)),6*4)&lt;=32,IF((COUNTIF(L353:L362,"Pembimbing Utama Laporan akhir studi"))&lt;=10,(SUMIF(L353:L362,"Pembimbing Utama Laporan akhir studi",K353:K362)),1*10)+IF((COUNTIF(L353:L362,"Pembimbing Pendamping Laporan akhir studi"))&lt;=10,(SUMIF(L353:L362,"Pembimbing Pendamping Laporan akhir studi",K353:K362)),0.5*10)+IF((COUNTIF(L353:L362,"Pembimbing Utama Skripsi"))&lt;=8,(SUMIF(L353:L362,"Pembimbing Utama Skripsi",K353:K362)),1*8)+IF((COUNTIF(L353:L362,"Pembimbing Pendamping Skripsi"))&lt;=8,(SUMIF(L353:L362,"Pembimbing Pendamping Skripsi",K353:K362)),1*8)+IF((COUNTIF(L353:L362,"Pembimbing Utama Tesis"))&lt;=6,(SUMIF(L353:L362,"Pembimbing Utama Tesis",K353:K362)),3*6)+IF((COUNTIF(L353:L362,"Pembimbing Pendamping Tesis"))&lt;=6,(SUMIF(L353:L362,"Pembimbing Pendamping Tesis",K353:K362)),2*6)+IF((COUNTIF(L353:L362,"Pembimbing Utama Disertasi"))&lt;=4,(SUMIF(L353:L362,"Pembimbing Utama Disertasi",K353:K362)),8*4)+IF((COUNTIF(L353:L362,"Pembimbing Pendamping Disertasi"))&lt;=4,(SUMIF(L353:L362,"Pembimbing Pendamping Disertasi",K353:K362)),6*4),32)</f>
        <v>0</v>
      </c>
      <c r="N363" s="33" t="str">
        <f>"Max 32"</f>
        <v>Max 32</v>
      </c>
      <c r="Q363" s="59"/>
    </row>
    <row r="364" spans="1:17" hidden="1" x14ac:dyDescent="0.45">
      <c r="A364" s="67">
        <v>1</v>
      </c>
      <c r="B364" s="186" t="s">
        <v>97</v>
      </c>
      <c r="C364" s="28" t="s">
        <v>252</v>
      </c>
      <c r="D364" s="28" t="str">
        <f>IF(G364&lt;&gt;"rumus","Lulusan","")</f>
        <v/>
      </c>
      <c r="E364" s="256" t="str">
        <f t="shared" ref="E364:E373" si="106">IF(I364&lt;&gt;"",1,"")</f>
        <v/>
      </c>
      <c r="F364" s="256" t="str">
        <f>IF(I364&lt;&gt;"",K364,"")</f>
        <v/>
      </c>
      <c r="G364" s="159" t="str">
        <f>IF(K364&lt;&gt;"rumus","1 x "&amp;K364&amp;" = "&amp;K364,"rumus")</f>
        <v>rumus</v>
      </c>
      <c r="H364" s="28" t="s">
        <v>620</v>
      </c>
      <c r="I364" s="36"/>
      <c r="J364" s="36"/>
      <c r="K364" s="37" t="str">
        <f t="shared" ref="K364:K371" si="107">IF(AND(I364&lt;&gt;"",J364&lt;&gt;""),IF(I364="Pembimbing Utama",IF(J364="Disertasi",8,IF(J364="Tesis",3,IF(J364="Skripsi",1,IF(J364="Laporan akhir studi",1,"")))),IF(I364="Pembimbing Pendamping",IF(J364="Disertasi",6,IF(J364="Tesis",2,IF(J364="Skripsi",0.5,IF(J364="Laporan akhir studi",0.5,"")))))),"rumus")</f>
        <v>rumus</v>
      </c>
      <c r="L364" s="115" t="str">
        <f t="shared" ref="L364:L371" si="108">I364&amp;" "&amp;J364</f>
        <v xml:space="preserve"> </v>
      </c>
      <c r="M364" s="35"/>
    </row>
    <row r="365" spans="1:17" hidden="1" x14ac:dyDescent="0.45">
      <c r="A365" s="67">
        <v>2</v>
      </c>
      <c r="B365" s="186" t="s">
        <v>97</v>
      </c>
      <c r="C365" s="28" t="s">
        <v>252</v>
      </c>
      <c r="D365" s="28" t="str">
        <f t="shared" ref="D365:D373" si="109">IF(G365&lt;&gt;"rumus","Lulusan","")</f>
        <v/>
      </c>
      <c r="E365" s="256" t="str">
        <f t="shared" si="106"/>
        <v/>
      </c>
      <c r="F365" s="256" t="str">
        <f t="shared" ref="F365:F373" si="110">IF(I365&lt;&gt;"",K365,"")</f>
        <v/>
      </c>
      <c r="G365" s="159" t="str">
        <f t="shared" ref="G365:G373" si="111">IF(K365&lt;&gt;"rumus","1 x "&amp;K365&amp;" = "&amp;K365,"rumus")</f>
        <v>rumus</v>
      </c>
      <c r="H365" s="39" t="s">
        <v>66</v>
      </c>
      <c r="I365" s="36"/>
      <c r="J365" s="36"/>
      <c r="K365" s="37" t="str">
        <f t="shared" si="107"/>
        <v>rumus</v>
      </c>
      <c r="L365" s="115" t="str">
        <f t="shared" si="108"/>
        <v xml:space="preserve"> </v>
      </c>
      <c r="M365" s="35"/>
    </row>
    <row r="366" spans="1:17" hidden="1" x14ac:dyDescent="0.45">
      <c r="A366" s="67">
        <v>3</v>
      </c>
      <c r="B366" s="186" t="s">
        <v>97</v>
      </c>
      <c r="C366" s="28" t="s">
        <v>252</v>
      </c>
      <c r="D366" s="28" t="str">
        <f t="shared" si="109"/>
        <v/>
      </c>
      <c r="E366" s="256" t="str">
        <f t="shared" si="106"/>
        <v/>
      </c>
      <c r="F366" s="256" t="str">
        <f t="shared" si="110"/>
        <v/>
      </c>
      <c r="G366" s="159" t="str">
        <f t="shared" si="111"/>
        <v>rumus</v>
      </c>
      <c r="H366" s="39" t="s">
        <v>66</v>
      </c>
      <c r="I366" s="36"/>
      <c r="J366" s="36"/>
      <c r="K366" s="37" t="str">
        <f t="shared" si="107"/>
        <v>rumus</v>
      </c>
      <c r="L366" s="115" t="str">
        <f t="shared" si="108"/>
        <v xml:space="preserve"> </v>
      </c>
      <c r="M366" s="35"/>
    </row>
    <row r="367" spans="1:17" hidden="1" x14ac:dyDescent="0.45">
      <c r="A367" s="67">
        <v>4</v>
      </c>
      <c r="B367" s="186" t="s">
        <v>97</v>
      </c>
      <c r="C367" s="28" t="s">
        <v>252</v>
      </c>
      <c r="D367" s="28" t="str">
        <f t="shared" si="109"/>
        <v/>
      </c>
      <c r="E367" s="256" t="str">
        <f t="shared" si="106"/>
        <v/>
      </c>
      <c r="F367" s="256" t="str">
        <f t="shared" si="110"/>
        <v/>
      </c>
      <c r="G367" s="159" t="str">
        <f t="shared" si="111"/>
        <v>rumus</v>
      </c>
      <c r="H367" s="39" t="s">
        <v>66</v>
      </c>
      <c r="I367" s="36"/>
      <c r="J367" s="36"/>
      <c r="K367" s="37" t="str">
        <f t="shared" si="107"/>
        <v>rumus</v>
      </c>
      <c r="L367" s="115" t="str">
        <f t="shared" si="108"/>
        <v xml:space="preserve"> </v>
      </c>
      <c r="M367" s="35"/>
    </row>
    <row r="368" spans="1:17" hidden="1" x14ac:dyDescent="0.45">
      <c r="A368" s="67">
        <v>5</v>
      </c>
      <c r="B368" s="186" t="s">
        <v>97</v>
      </c>
      <c r="C368" s="28" t="s">
        <v>252</v>
      </c>
      <c r="D368" s="28" t="str">
        <f t="shared" si="109"/>
        <v/>
      </c>
      <c r="E368" s="256" t="str">
        <f t="shared" si="106"/>
        <v/>
      </c>
      <c r="F368" s="256" t="str">
        <f t="shared" si="110"/>
        <v/>
      </c>
      <c r="G368" s="159" t="str">
        <f t="shared" si="111"/>
        <v>rumus</v>
      </c>
      <c r="H368" s="39" t="s">
        <v>66</v>
      </c>
      <c r="I368" s="36"/>
      <c r="J368" s="36"/>
      <c r="K368" s="37" t="str">
        <f t="shared" si="107"/>
        <v>rumus</v>
      </c>
      <c r="L368" s="115" t="str">
        <f t="shared" si="108"/>
        <v xml:space="preserve"> </v>
      </c>
      <c r="M368" s="35"/>
    </row>
    <row r="369" spans="1:17" hidden="1" x14ac:dyDescent="0.45">
      <c r="A369" s="67">
        <v>6</v>
      </c>
      <c r="B369" s="186" t="s">
        <v>97</v>
      </c>
      <c r="C369" s="28" t="s">
        <v>252</v>
      </c>
      <c r="D369" s="28" t="str">
        <f t="shared" si="109"/>
        <v/>
      </c>
      <c r="E369" s="256" t="str">
        <f t="shared" si="106"/>
        <v/>
      </c>
      <c r="F369" s="256" t="str">
        <f t="shared" si="110"/>
        <v/>
      </c>
      <c r="G369" s="159" t="str">
        <f t="shared" si="111"/>
        <v>rumus</v>
      </c>
      <c r="H369" s="39" t="s">
        <v>66</v>
      </c>
      <c r="I369" s="36"/>
      <c r="J369" s="36"/>
      <c r="K369" s="37" t="str">
        <f t="shared" si="107"/>
        <v>rumus</v>
      </c>
      <c r="L369" s="115" t="str">
        <f t="shared" si="108"/>
        <v xml:space="preserve"> </v>
      </c>
      <c r="M369" s="35"/>
    </row>
    <row r="370" spans="1:17" hidden="1" x14ac:dyDescent="0.45">
      <c r="A370" s="67">
        <v>7</v>
      </c>
      <c r="B370" s="186" t="s">
        <v>97</v>
      </c>
      <c r="C370" s="28" t="s">
        <v>252</v>
      </c>
      <c r="D370" s="28" t="str">
        <f t="shared" si="109"/>
        <v/>
      </c>
      <c r="E370" s="256" t="str">
        <f t="shared" si="106"/>
        <v/>
      </c>
      <c r="F370" s="256" t="str">
        <f t="shared" si="110"/>
        <v/>
      </c>
      <c r="G370" s="159" t="str">
        <f t="shared" si="111"/>
        <v>rumus</v>
      </c>
      <c r="H370" s="39" t="s">
        <v>66</v>
      </c>
      <c r="I370" s="36"/>
      <c r="J370" s="36"/>
      <c r="K370" s="37" t="str">
        <f t="shared" si="107"/>
        <v>rumus</v>
      </c>
      <c r="L370" s="115" t="str">
        <f t="shared" si="108"/>
        <v xml:space="preserve"> </v>
      </c>
      <c r="M370" s="35"/>
    </row>
    <row r="371" spans="1:17" hidden="1" x14ac:dyDescent="0.45">
      <c r="A371" s="67">
        <v>8</v>
      </c>
      <c r="B371" s="186" t="s">
        <v>97</v>
      </c>
      <c r="C371" s="28" t="s">
        <v>252</v>
      </c>
      <c r="D371" s="28" t="str">
        <f t="shared" si="109"/>
        <v/>
      </c>
      <c r="E371" s="256" t="str">
        <f t="shared" si="106"/>
        <v/>
      </c>
      <c r="F371" s="256" t="str">
        <f t="shared" si="110"/>
        <v/>
      </c>
      <c r="G371" s="159" t="str">
        <f t="shared" si="111"/>
        <v>rumus</v>
      </c>
      <c r="H371" s="39" t="s">
        <v>66</v>
      </c>
      <c r="I371" s="36"/>
      <c r="J371" s="36"/>
      <c r="K371" s="37" t="str">
        <f t="shared" si="107"/>
        <v>rumus</v>
      </c>
      <c r="L371" s="115" t="str">
        <f t="shared" si="108"/>
        <v xml:space="preserve"> </v>
      </c>
      <c r="M371" s="35"/>
    </row>
    <row r="372" spans="1:17" hidden="1" x14ac:dyDescent="0.45">
      <c r="A372" s="67">
        <v>9</v>
      </c>
      <c r="B372" s="186" t="s">
        <v>97</v>
      </c>
      <c r="C372" s="28" t="s">
        <v>252</v>
      </c>
      <c r="D372" s="28" t="str">
        <f t="shared" si="109"/>
        <v/>
      </c>
      <c r="E372" s="256" t="str">
        <f t="shared" si="106"/>
        <v/>
      </c>
      <c r="F372" s="256" t="str">
        <f t="shared" si="110"/>
        <v/>
      </c>
      <c r="G372" s="159" t="str">
        <f t="shared" si="111"/>
        <v>rumus</v>
      </c>
      <c r="H372" s="39" t="s">
        <v>66</v>
      </c>
      <c r="I372" s="36"/>
      <c r="J372" s="36"/>
      <c r="K372" s="37" t="str">
        <f t="shared" ref="K372" si="112">IF(AND(I372&lt;&gt;"",J372&lt;&gt;""),IF(I372="Pembimbing Utama",IF(J372="Disertasi",8,IF(J372="Tesis",3,IF(J372="Skripsi",1,IF(J372="Laporan akhir studi",1,"")))),IF(I372="Pembimbing Pendamping",IF(J372="Disertasi",6,IF(J372="Tesis",2,IF(J372="Skripsi",0.5,IF(J372="Laporan akhir studi",0.5,"")))))),"rumus")</f>
        <v>rumus</v>
      </c>
      <c r="L372" s="115" t="str">
        <f t="shared" ref="L372" si="113">I372&amp;" "&amp;J372</f>
        <v xml:space="preserve"> </v>
      </c>
      <c r="M372" s="35"/>
    </row>
    <row r="373" spans="1:17" hidden="1" x14ac:dyDescent="0.45">
      <c r="A373" s="67">
        <v>10</v>
      </c>
      <c r="B373" s="186" t="s">
        <v>97</v>
      </c>
      <c r="C373" s="28" t="s">
        <v>252</v>
      </c>
      <c r="D373" s="28" t="str">
        <f t="shared" si="109"/>
        <v/>
      </c>
      <c r="E373" s="256" t="str">
        <f t="shared" si="106"/>
        <v/>
      </c>
      <c r="F373" s="256" t="str">
        <f t="shared" si="110"/>
        <v/>
      </c>
      <c r="G373" s="159" t="str">
        <f t="shared" si="111"/>
        <v>rumus</v>
      </c>
      <c r="H373" s="39" t="s">
        <v>66</v>
      </c>
      <c r="I373" s="36"/>
      <c r="J373" s="36"/>
      <c r="K373" s="37" t="str">
        <f t="shared" ref="K373" si="114">IF(AND(I373&lt;&gt;"",J373&lt;&gt;""),IF(I373="Pembimbing Utama",IF(J373="Disertasi",8,IF(J373="Tesis",3,IF(J373="Skripsi",1,IF(J373="Laporan akhir studi",1,"")))),IF(I373="Pembimbing Pendamping",IF(J373="Disertasi",6,IF(J373="Tesis",2,IF(J373="Skripsi",0.5,IF(J373="Laporan akhir studi",0.5,"")))))),"rumus")</f>
        <v>rumus</v>
      </c>
      <c r="L373" s="115" t="str">
        <f t="shared" ref="L373" si="115">I373&amp;" "&amp;J373</f>
        <v xml:space="preserve"> </v>
      </c>
      <c r="M373" s="35"/>
    </row>
    <row r="374" spans="1:17" ht="15" customHeight="1" x14ac:dyDescent="0.45">
      <c r="A374" s="67"/>
      <c r="B374" s="168" t="str">
        <f>"a. Semester Gasal "&amp;IF(C375&lt;&gt;"",C375,"")&amp;" :"</f>
        <v>a. Semester Gasal 2016/2017 :</v>
      </c>
      <c r="C374" s="30"/>
      <c r="D374" s="30"/>
      <c r="E374" s="30"/>
      <c r="F374" s="30"/>
      <c r="G374" s="30"/>
      <c r="H374" s="54"/>
      <c r="I374" s="40"/>
      <c r="J374" s="104"/>
      <c r="M374" s="25">
        <f>IF(IF((COUNTIF(L364:L373,"Pembimbing Utama Laporan akhir studi"))&lt;=10,(SUMIF(L364:L373,"Pembimbing Utama Laporan akhir studi",K364:K373)),1*10)+IF((COUNTIF(L364:L373,"Pembimbing Pendamping Laporan akhir studi"))&lt;=10,(SUMIF(L364:L373,"Pembimbing Pendamping Laporan akhir studi",K364:K373)),0.5*10)+IF((COUNTIF(L364:L373,"Pembimbing Utama Skripsi"))&lt;=8,(SUMIF(L364:L373,"Pembimbing Utama Skripsi",K364:K373)),1*8)+IF((COUNTIF(L364:L373,"Pembimbing Pendamping Skripsi"))&lt;=8,(SUMIF(L364:L373,"Pembimbing Pendamping Skripsi",K364:K373)),1*8)+IF((COUNTIF(L364:L373,"Pembimbing Utama Tesis"))&lt;=6,(SUMIF(L364:L373,"Pembimbing Utama Tesis",K364:K373)),3*6)+IF((COUNTIF(L364:L373,"Pembimbing Pendamping Tesis"))&lt;=6,(SUMIF(L364:L373,"Pembimbing Pendamping Tesis",K364:K373)),2*6)+IF((COUNTIF(L364:L373,"Pembimbing Utama Disertasi"))&lt;=4,(SUMIF(L364:L373,"Pembimbing Utama Disertasi",K364:K373)),8*4)+IF((COUNTIF(L364:L373,"Pembimbing Pendamping Disertasi"))&lt;=4,(SUMIF(L364:L373,"Pembimbing Pendamping Disertasi",K364:K373)),6*4)&lt;=32,IF((COUNTIF(L364:L373,"Pembimbing Utama Laporan akhir studi"))&lt;=10,(SUMIF(L364:L373,"Pembimbing Utama Laporan akhir studi",K364:K373)),1*10)+IF((COUNTIF(L364:L373,"Pembimbing Pendamping Laporan akhir studi"))&lt;=10,(SUMIF(L364:L373,"Pembimbing Pendamping Laporan akhir studi",K364:K373)),0.5*10)+IF((COUNTIF(L364:L373,"Pembimbing Utama Skripsi"))&lt;=8,(SUMIF(L364:L373,"Pembimbing Utama Skripsi",K364:K373)),1*8)+IF((COUNTIF(L364:L373,"Pembimbing Pendamping Skripsi"))&lt;=8,(SUMIF(L364:L373,"Pembimbing Pendamping Skripsi",K364:K373)),1*8)+IF((COUNTIF(L364:L373,"Pembimbing Utama Tesis"))&lt;=6,(SUMIF(L364:L373,"Pembimbing Utama Tesis",K364:K373)),3*6)+IF((COUNTIF(L364:L373,"Pembimbing Pendamping Tesis"))&lt;=6,(SUMIF(L364:L373,"Pembimbing Pendamping Tesis",K364:K373)),2*6)+IF((COUNTIF(L364:L373,"Pembimbing Utama Disertasi"))&lt;=4,(SUMIF(L364:L373,"Pembimbing Utama Disertasi",K364:K373)),8*4)+IF((COUNTIF(L364:L373,"Pembimbing Pendamping Disertasi"))&lt;=4,(SUMIF(L364:L373,"Pembimbing Pendamping Disertasi",K364:K373)),6*4),32)</f>
        <v>0</v>
      </c>
      <c r="N374" s="33" t="str">
        <f>"Max 32"</f>
        <v>Max 32</v>
      </c>
      <c r="Q374" s="59"/>
    </row>
    <row r="375" spans="1:17" x14ac:dyDescent="0.45">
      <c r="A375" s="67">
        <v>1</v>
      </c>
      <c r="B375" s="823" t="s">
        <v>888</v>
      </c>
      <c r="C375" s="28" t="s">
        <v>798</v>
      </c>
      <c r="D375" s="28" t="str">
        <f>IF(G375&lt;&gt;"rumus","Lulusan","")</f>
        <v>Lulusan</v>
      </c>
      <c r="E375" s="256">
        <f t="shared" ref="E375:E384" si="116">IF(I375&lt;&gt;"",1,"")</f>
        <v>1</v>
      </c>
      <c r="F375" s="256">
        <f>IF(I375&lt;&gt;"",K375,"")</f>
        <v>0.5</v>
      </c>
      <c r="G375" s="159" t="str">
        <f>IF(K375&lt;&gt;"rumus","1 x "&amp;K375&amp;" = "&amp;K375,"rumus")</f>
        <v>1 x 0,5 = 0,5</v>
      </c>
      <c r="H375" s="820" t="s">
        <v>889</v>
      </c>
      <c r="I375" s="36" t="s">
        <v>858</v>
      </c>
      <c r="J375" s="36" t="s">
        <v>890</v>
      </c>
      <c r="K375" s="37">
        <f t="shared" ref="K375:K384" si="117">IF(AND(I375&lt;&gt;"",J375&lt;&gt;""),IF(I375="Pembimbing Utama",IF(J375="Disertasi",8,IF(J375="Tesis",3,IF(J375="Skripsi",1,IF(J375="Laporan akhir studi",1,"")))),IF(I375="Pembimbing Pendamping",IF(J375="Disertasi",6,IF(J375="Tesis",2,IF(J375="Skripsi",0.5,IF(J375="Laporan akhir studi",0.5,"")))))),"rumus")</f>
        <v>0.5</v>
      </c>
      <c r="L375" s="115" t="str">
        <f t="shared" ref="L375:L384" si="118">I375&amp;" "&amp;J375</f>
        <v>Pembimbing Pendamping Laporan akhir studi</v>
      </c>
      <c r="M375" s="35"/>
    </row>
    <row r="376" spans="1:17" hidden="1" x14ac:dyDescent="0.45">
      <c r="A376" s="67">
        <v>2</v>
      </c>
      <c r="B376" s="186" t="s">
        <v>97</v>
      </c>
      <c r="C376" s="28" t="s">
        <v>798</v>
      </c>
      <c r="D376" s="28" t="str">
        <f t="shared" ref="D376:D384" si="119">IF(G376&lt;&gt;"rumus","Lulusan","")</f>
        <v/>
      </c>
      <c r="E376" s="256" t="str">
        <f t="shared" si="116"/>
        <v/>
      </c>
      <c r="F376" s="256" t="str">
        <f t="shared" ref="F376:F384" si="120">IF(I376&lt;&gt;"",K376,"")</f>
        <v/>
      </c>
      <c r="G376" s="159" t="str">
        <f t="shared" ref="G376:G384" si="121">IF(K376&lt;&gt;"rumus","1 x "&amp;K376&amp;" = "&amp;K376,"rumus")</f>
        <v>rumus</v>
      </c>
      <c r="H376" s="39" t="s">
        <v>66</v>
      </c>
      <c r="I376" s="36"/>
      <c r="J376" s="36"/>
      <c r="K376" s="37" t="str">
        <f t="shared" si="117"/>
        <v>rumus</v>
      </c>
      <c r="L376" s="115" t="str">
        <f t="shared" si="118"/>
        <v xml:space="preserve"> </v>
      </c>
      <c r="M376" s="35"/>
    </row>
    <row r="377" spans="1:17" hidden="1" x14ac:dyDescent="0.45">
      <c r="A377" s="67">
        <v>3</v>
      </c>
      <c r="B377" s="186" t="s">
        <v>97</v>
      </c>
      <c r="C377" s="28" t="s">
        <v>798</v>
      </c>
      <c r="D377" s="28" t="str">
        <f t="shared" si="119"/>
        <v/>
      </c>
      <c r="E377" s="256" t="str">
        <f t="shared" si="116"/>
        <v/>
      </c>
      <c r="F377" s="256" t="str">
        <f t="shared" si="120"/>
        <v/>
      </c>
      <c r="G377" s="159" t="str">
        <f t="shared" si="121"/>
        <v>rumus</v>
      </c>
      <c r="H377" s="39" t="s">
        <v>66</v>
      </c>
      <c r="I377" s="36"/>
      <c r="J377" s="36"/>
      <c r="K377" s="37" t="str">
        <f t="shared" si="117"/>
        <v>rumus</v>
      </c>
      <c r="L377" s="115" t="str">
        <f t="shared" si="118"/>
        <v xml:space="preserve"> </v>
      </c>
      <c r="M377" s="35"/>
    </row>
    <row r="378" spans="1:17" hidden="1" x14ac:dyDescent="0.45">
      <c r="A378" s="67">
        <v>4</v>
      </c>
      <c r="B378" s="186" t="s">
        <v>97</v>
      </c>
      <c r="C378" s="28" t="s">
        <v>798</v>
      </c>
      <c r="D378" s="28" t="str">
        <f t="shared" si="119"/>
        <v/>
      </c>
      <c r="E378" s="256" t="str">
        <f t="shared" si="116"/>
        <v/>
      </c>
      <c r="F378" s="256" t="str">
        <f t="shared" si="120"/>
        <v/>
      </c>
      <c r="G378" s="159" t="str">
        <f t="shared" si="121"/>
        <v>rumus</v>
      </c>
      <c r="H378" s="39" t="s">
        <v>66</v>
      </c>
      <c r="I378" s="36"/>
      <c r="J378" s="36"/>
      <c r="K378" s="37" t="str">
        <f t="shared" si="117"/>
        <v>rumus</v>
      </c>
      <c r="L378" s="115" t="str">
        <f t="shared" si="118"/>
        <v xml:space="preserve"> </v>
      </c>
      <c r="M378" s="35"/>
    </row>
    <row r="379" spans="1:17" hidden="1" x14ac:dyDescent="0.45">
      <c r="A379" s="67">
        <v>5</v>
      </c>
      <c r="B379" s="186" t="s">
        <v>97</v>
      </c>
      <c r="C379" s="28" t="s">
        <v>798</v>
      </c>
      <c r="D379" s="28" t="str">
        <f t="shared" si="119"/>
        <v/>
      </c>
      <c r="E379" s="256" t="str">
        <f t="shared" si="116"/>
        <v/>
      </c>
      <c r="F379" s="256" t="str">
        <f t="shared" si="120"/>
        <v/>
      </c>
      <c r="G379" s="159" t="str">
        <f t="shared" si="121"/>
        <v>rumus</v>
      </c>
      <c r="H379" s="39" t="s">
        <v>66</v>
      </c>
      <c r="I379" s="36"/>
      <c r="J379" s="36"/>
      <c r="K379" s="37" t="str">
        <f t="shared" si="117"/>
        <v>rumus</v>
      </c>
      <c r="L379" s="115" t="str">
        <f t="shared" si="118"/>
        <v xml:space="preserve"> </v>
      </c>
      <c r="M379" s="35"/>
    </row>
    <row r="380" spans="1:17" hidden="1" x14ac:dyDescent="0.45">
      <c r="A380" s="67">
        <v>6</v>
      </c>
      <c r="B380" s="186" t="s">
        <v>97</v>
      </c>
      <c r="C380" s="28" t="s">
        <v>798</v>
      </c>
      <c r="D380" s="28" t="str">
        <f t="shared" si="119"/>
        <v/>
      </c>
      <c r="E380" s="256" t="str">
        <f t="shared" si="116"/>
        <v/>
      </c>
      <c r="F380" s="256" t="str">
        <f t="shared" si="120"/>
        <v/>
      </c>
      <c r="G380" s="159" t="str">
        <f t="shared" si="121"/>
        <v>rumus</v>
      </c>
      <c r="H380" s="39" t="s">
        <v>66</v>
      </c>
      <c r="I380" s="36"/>
      <c r="J380" s="36"/>
      <c r="K380" s="37" t="str">
        <f t="shared" si="117"/>
        <v>rumus</v>
      </c>
      <c r="L380" s="115" t="str">
        <f t="shared" si="118"/>
        <v xml:space="preserve"> </v>
      </c>
      <c r="M380" s="35"/>
    </row>
    <row r="381" spans="1:17" hidden="1" x14ac:dyDescent="0.45">
      <c r="A381" s="67">
        <v>7</v>
      </c>
      <c r="B381" s="186" t="s">
        <v>97</v>
      </c>
      <c r="C381" s="28" t="s">
        <v>798</v>
      </c>
      <c r="D381" s="28" t="str">
        <f t="shared" si="119"/>
        <v/>
      </c>
      <c r="E381" s="256" t="str">
        <f t="shared" si="116"/>
        <v/>
      </c>
      <c r="F381" s="256" t="str">
        <f t="shared" si="120"/>
        <v/>
      </c>
      <c r="G381" s="159" t="str">
        <f t="shared" si="121"/>
        <v>rumus</v>
      </c>
      <c r="H381" s="39" t="s">
        <v>66</v>
      </c>
      <c r="I381" s="36"/>
      <c r="J381" s="36"/>
      <c r="K381" s="37" t="str">
        <f t="shared" si="117"/>
        <v>rumus</v>
      </c>
      <c r="L381" s="115" t="str">
        <f t="shared" si="118"/>
        <v xml:space="preserve"> </v>
      </c>
      <c r="M381" s="35"/>
    </row>
    <row r="382" spans="1:17" hidden="1" x14ac:dyDescent="0.45">
      <c r="A382" s="67">
        <v>8</v>
      </c>
      <c r="B382" s="186" t="s">
        <v>97</v>
      </c>
      <c r="C382" s="28" t="s">
        <v>798</v>
      </c>
      <c r="D382" s="28" t="str">
        <f t="shared" si="119"/>
        <v/>
      </c>
      <c r="E382" s="256" t="str">
        <f t="shared" si="116"/>
        <v/>
      </c>
      <c r="F382" s="256" t="str">
        <f t="shared" si="120"/>
        <v/>
      </c>
      <c r="G382" s="159" t="str">
        <f t="shared" si="121"/>
        <v>rumus</v>
      </c>
      <c r="H382" s="39" t="s">
        <v>66</v>
      </c>
      <c r="I382" s="36"/>
      <c r="J382" s="36"/>
      <c r="K382" s="37" t="str">
        <f t="shared" si="117"/>
        <v>rumus</v>
      </c>
      <c r="L382" s="115" t="str">
        <f t="shared" si="118"/>
        <v xml:space="preserve"> </v>
      </c>
      <c r="M382" s="35"/>
    </row>
    <row r="383" spans="1:17" hidden="1" x14ac:dyDescent="0.45">
      <c r="A383" s="67">
        <v>9</v>
      </c>
      <c r="B383" s="186" t="s">
        <v>97</v>
      </c>
      <c r="C383" s="28" t="s">
        <v>798</v>
      </c>
      <c r="D383" s="28" t="str">
        <f t="shared" si="119"/>
        <v/>
      </c>
      <c r="E383" s="256" t="str">
        <f t="shared" si="116"/>
        <v/>
      </c>
      <c r="F383" s="256" t="str">
        <f t="shared" si="120"/>
        <v/>
      </c>
      <c r="G383" s="159" t="str">
        <f t="shared" si="121"/>
        <v>rumus</v>
      </c>
      <c r="H383" s="39" t="s">
        <v>66</v>
      </c>
      <c r="I383" s="36"/>
      <c r="J383" s="36"/>
      <c r="K383" s="37" t="str">
        <f t="shared" si="117"/>
        <v>rumus</v>
      </c>
      <c r="L383" s="115" t="str">
        <f t="shared" si="118"/>
        <v xml:space="preserve"> </v>
      </c>
      <c r="M383" s="35"/>
    </row>
    <row r="384" spans="1:17" hidden="1" x14ac:dyDescent="0.45">
      <c r="A384" s="67">
        <v>10</v>
      </c>
      <c r="B384" s="186" t="s">
        <v>97</v>
      </c>
      <c r="C384" s="28" t="s">
        <v>798</v>
      </c>
      <c r="D384" s="28" t="str">
        <f t="shared" si="119"/>
        <v/>
      </c>
      <c r="E384" s="256" t="str">
        <f t="shared" si="116"/>
        <v/>
      </c>
      <c r="F384" s="256" t="str">
        <f t="shared" si="120"/>
        <v/>
      </c>
      <c r="G384" s="159" t="str">
        <f t="shared" si="121"/>
        <v>rumus</v>
      </c>
      <c r="H384" s="39" t="s">
        <v>66</v>
      </c>
      <c r="I384" s="36"/>
      <c r="J384" s="36"/>
      <c r="K384" s="37" t="str">
        <f t="shared" si="117"/>
        <v>rumus</v>
      </c>
      <c r="L384" s="115" t="str">
        <f t="shared" si="118"/>
        <v xml:space="preserve"> </v>
      </c>
      <c r="M384" s="35"/>
    </row>
    <row r="385" spans="1:17" ht="15" hidden="1" customHeight="1" x14ac:dyDescent="0.45">
      <c r="A385" s="67"/>
      <c r="B385" s="168" t="str">
        <f>"a. Semester Gasal "&amp;IF(C386&lt;&gt;"",C386,"")&amp;" :"</f>
        <v>a. Semester Gasal 2017/2018 :</v>
      </c>
      <c r="C385" s="30"/>
      <c r="D385" s="30"/>
      <c r="E385" s="30"/>
      <c r="F385" s="30"/>
      <c r="G385" s="30"/>
      <c r="H385" s="54"/>
      <c r="I385" s="40"/>
      <c r="J385" s="104"/>
      <c r="M385" s="25">
        <f>IF(IF((COUNTIF(L375:L384,"Pembimbing Utama Laporan akhir studi"))&lt;=10,(SUMIF(L375:L384,"Pembimbing Utama Laporan akhir studi",K375:K384)),1*10)+IF((COUNTIF(L375:L384,"Pembimbing Pendamping Laporan akhir studi"))&lt;=10,(SUMIF(L375:L384,"Pembimbing Pendamping Laporan akhir studi",K375:K384)),0.5*10)+IF((COUNTIF(L375:L384,"Pembimbing Utama Skripsi"))&lt;=8,(SUMIF(L375:L384,"Pembimbing Utama Skripsi",K375:K384)),1*8)+IF((COUNTIF(L375:L384,"Pembimbing Pendamping Skripsi"))&lt;=8,(SUMIF(L375:L384,"Pembimbing Pendamping Skripsi",K375:K384)),1*8)+IF((COUNTIF(L375:L384,"Pembimbing Utama Tesis"))&lt;=6,(SUMIF(L375:L384,"Pembimbing Utama Tesis",K375:K384)),3*6)+IF((COUNTIF(L375:L384,"Pembimbing Pendamping Tesis"))&lt;=6,(SUMIF(L375:L384,"Pembimbing Pendamping Tesis",K375:K384)),2*6)+IF((COUNTIF(L375:L384,"Pembimbing Utama Disertasi"))&lt;=4,(SUMIF(L375:L384,"Pembimbing Utama Disertasi",K375:K384)),8*4)+IF((COUNTIF(L375:L384,"Pembimbing Pendamping Disertasi"))&lt;=4,(SUMIF(L375:L384,"Pembimbing Pendamping Disertasi",K375:K384)),6*4)&lt;=32,IF((COUNTIF(L375:L384,"Pembimbing Utama Laporan akhir studi"))&lt;=10,(SUMIF(L375:L384,"Pembimbing Utama Laporan akhir studi",K375:K384)),1*10)+IF((COUNTIF(L375:L384,"Pembimbing Pendamping Laporan akhir studi"))&lt;=10,(SUMIF(L375:L384,"Pembimbing Pendamping Laporan akhir studi",K375:K384)),0.5*10)+IF((COUNTIF(L375:L384,"Pembimbing Utama Skripsi"))&lt;=8,(SUMIF(L375:L384,"Pembimbing Utama Skripsi",K375:K384)),1*8)+IF((COUNTIF(L375:L384,"Pembimbing Pendamping Skripsi"))&lt;=8,(SUMIF(L375:L384,"Pembimbing Pendamping Skripsi",K375:K384)),1*8)+IF((COUNTIF(L375:L384,"Pembimbing Utama Tesis"))&lt;=6,(SUMIF(L375:L384,"Pembimbing Utama Tesis",K375:K384)),3*6)+IF((COUNTIF(L375:L384,"Pembimbing Pendamping Tesis"))&lt;=6,(SUMIF(L375:L384,"Pembimbing Pendamping Tesis",K375:K384)),2*6)+IF((COUNTIF(L375:L384,"Pembimbing Utama Disertasi"))&lt;=4,(SUMIF(L375:L384,"Pembimbing Utama Disertasi",K375:K384)),8*4)+IF((COUNTIF(L375:L384,"Pembimbing Pendamping Disertasi"))&lt;=4,(SUMIF(L375:L384,"Pembimbing Pendamping Disertasi",K375:K384)),6*4),32)</f>
        <v>0.5</v>
      </c>
      <c r="N385" s="33" t="str">
        <f>"Max 32"</f>
        <v>Max 32</v>
      </c>
      <c r="Q385" s="59"/>
    </row>
    <row r="386" spans="1:17" hidden="1" x14ac:dyDescent="0.45">
      <c r="A386" s="67">
        <v>1</v>
      </c>
      <c r="B386" s="186" t="s">
        <v>97</v>
      </c>
      <c r="C386" s="28" t="s">
        <v>795</v>
      </c>
      <c r="D386" s="28" t="str">
        <f>IF(G386&lt;&gt;"rumus","Lulusan","")</f>
        <v/>
      </c>
      <c r="E386" s="256" t="str">
        <f t="shared" ref="E386:E395" si="122">IF(I386&lt;&gt;"",1,"")</f>
        <v/>
      </c>
      <c r="F386" s="256" t="str">
        <f>IF(I386&lt;&gt;"",K386,"")</f>
        <v/>
      </c>
      <c r="G386" s="159" t="str">
        <f>IF(K386&lt;&gt;"rumus","1 x "&amp;K386&amp;" = "&amp;K386,"rumus")</f>
        <v>rumus</v>
      </c>
      <c r="H386" s="28" t="s">
        <v>620</v>
      </c>
      <c r="I386" s="36"/>
      <c r="J386" s="36"/>
      <c r="K386" s="37" t="str">
        <f t="shared" ref="K386:K395" si="123">IF(AND(I386&lt;&gt;"",J386&lt;&gt;""),IF(I386="Pembimbing Utama",IF(J386="Disertasi",8,IF(J386="Tesis",3,IF(J386="Skripsi",1,IF(J386="Laporan akhir studi",1,"")))),IF(I386="Pembimbing Pendamping",IF(J386="Disertasi",6,IF(J386="Tesis",2,IF(J386="Skripsi",0.5,IF(J386="Laporan akhir studi",0.5,"")))))),"rumus")</f>
        <v>rumus</v>
      </c>
      <c r="L386" s="115" t="str">
        <f t="shared" ref="L386:L395" si="124">I386&amp;" "&amp;J386</f>
        <v xml:space="preserve"> </v>
      </c>
      <c r="M386" s="35"/>
    </row>
    <row r="387" spans="1:17" hidden="1" x14ac:dyDescent="0.45">
      <c r="A387" s="67">
        <v>2</v>
      </c>
      <c r="B387" s="186" t="s">
        <v>97</v>
      </c>
      <c r="C387" s="28" t="s">
        <v>795</v>
      </c>
      <c r="D387" s="28" t="str">
        <f t="shared" ref="D387:D395" si="125">IF(G387&lt;&gt;"rumus","Lulusan","")</f>
        <v/>
      </c>
      <c r="E387" s="256" t="str">
        <f t="shared" si="122"/>
        <v/>
      </c>
      <c r="F387" s="256" t="str">
        <f t="shared" ref="F387:F395" si="126">IF(I387&lt;&gt;"",K387,"")</f>
        <v/>
      </c>
      <c r="G387" s="159" t="str">
        <f t="shared" ref="G387:G395" si="127">IF(K387&lt;&gt;"rumus","1 x "&amp;K387&amp;" = "&amp;K387,"rumus")</f>
        <v>rumus</v>
      </c>
      <c r="H387" s="39" t="s">
        <v>66</v>
      </c>
      <c r="I387" s="36"/>
      <c r="J387" s="36"/>
      <c r="K387" s="37" t="str">
        <f t="shared" si="123"/>
        <v>rumus</v>
      </c>
      <c r="L387" s="115" t="str">
        <f t="shared" si="124"/>
        <v xml:space="preserve"> </v>
      </c>
      <c r="M387" s="35"/>
    </row>
    <row r="388" spans="1:17" hidden="1" x14ac:dyDescent="0.45">
      <c r="A388" s="67">
        <v>3</v>
      </c>
      <c r="B388" s="186" t="s">
        <v>97</v>
      </c>
      <c r="C388" s="28" t="s">
        <v>795</v>
      </c>
      <c r="D388" s="28" t="str">
        <f t="shared" si="125"/>
        <v/>
      </c>
      <c r="E388" s="256" t="str">
        <f t="shared" si="122"/>
        <v/>
      </c>
      <c r="F388" s="256" t="str">
        <f t="shared" si="126"/>
        <v/>
      </c>
      <c r="G388" s="159" t="str">
        <f t="shared" si="127"/>
        <v>rumus</v>
      </c>
      <c r="H388" s="39" t="s">
        <v>66</v>
      </c>
      <c r="I388" s="36"/>
      <c r="J388" s="36"/>
      <c r="K388" s="37" t="str">
        <f t="shared" si="123"/>
        <v>rumus</v>
      </c>
      <c r="L388" s="115" t="str">
        <f t="shared" si="124"/>
        <v xml:space="preserve"> </v>
      </c>
      <c r="M388" s="35"/>
    </row>
    <row r="389" spans="1:17" hidden="1" x14ac:dyDescent="0.45">
      <c r="A389" s="67">
        <v>4</v>
      </c>
      <c r="B389" s="186" t="s">
        <v>97</v>
      </c>
      <c r="C389" s="28" t="s">
        <v>795</v>
      </c>
      <c r="D389" s="28" t="str">
        <f t="shared" si="125"/>
        <v/>
      </c>
      <c r="E389" s="256" t="str">
        <f t="shared" si="122"/>
        <v/>
      </c>
      <c r="F389" s="256" t="str">
        <f t="shared" si="126"/>
        <v/>
      </c>
      <c r="G389" s="159" t="str">
        <f t="shared" si="127"/>
        <v>rumus</v>
      </c>
      <c r="H389" s="39" t="s">
        <v>66</v>
      </c>
      <c r="I389" s="36"/>
      <c r="J389" s="36"/>
      <c r="K389" s="37" t="str">
        <f t="shared" si="123"/>
        <v>rumus</v>
      </c>
      <c r="L389" s="115" t="str">
        <f t="shared" si="124"/>
        <v xml:space="preserve"> </v>
      </c>
      <c r="M389" s="35"/>
    </row>
    <row r="390" spans="1:17" hidden="1" x14ac:dyDescent="0.45">
      <c r="A390" s="67">
        <v>5</v>
      </c>
      <c r="B390" s="186" t="s">
        <v>97</v>
      </c>
      <c r="C390" s="28" t="s">
        <v>795</v>
      </c>
      <c r="D390" s="28" t="str">
        <f t="shared" si="125"/>
        <v/>
      </c>
      <c r="E390" s="256" t="str">
        <f t="shared" si="122"/>
        <v/>
      </c>
      <c r="F390" s="256" t="str">
        <f t="shared" si="126"/>
        <v/>
      </c>
      <c r="G390" s="159" t="str">
        <f t="shared" si="127"/>
        <v>rumus</v>
      </c>
      <c r="H390" s="39" t="s">
        <v>66</v>
      </c>
      <c r="I390" s="36"/>
      <c r="J390" s="36"/>
      <c r="K390" s="37" t="str">
        <f t="shared" si="123"/>
        <v>rumus</v>
      </c>
      <c r="L390" s="115" t="str">
        <f t="shared" si="124"/>
        <v xml:space="preserve"> </v>
      </c>
      <c r="M390" s="35"/>
    </row>
    <row r="391" spans="1:17" hidden="1" x14ac:dyDescent="0.45">
      <c r="A391" s="67">
        <v>6</v>
      </c>
      <c r="B391" s="186" t="s">
        <v>97</v>
      </c>
      <c r="C391" s="28" t="s">
        <v>795</v>
      </c>
      <c r="D391" s="28" t="str">
        <f t="shared" si="125"/>
        <v/>
      </c>
      <c r="E391" s="256" t="str">
        <f t="shared" si="122"/>
        <v/>
      </c>
      <c r="F391" s="256" t="str">
        <f t="shared" si="126"/>
        <v/>
      </c>
      <c r="G391" s="159" t="str">
        <f t="shared" si="127"/>
        <v>rumus</v>
      </c>
      <c r="H391" s="39" t="s">
        <v>66</v>
      </c>
      <c r="I391" s="36"/>
      <c r="J391" s="36"/>
      <c r="K391" s="37" t="str">
        <f t="shared" si="123"/>
        <v>rumus</v>
      </c>
      <c r="L391" s="115" t="str">
        <f t="shared" si="124"/>
        <v xml:space="preserve"> </v>
      </c>
      <c r="M391" s="35"/>
    </row>
    <row r="392" spans="1:17" hidden="1" x14ac:dyDescent="0.45">
      <c r="A392" s="67">
        <v>7</v>
      </c>
      <c r="B392" s="186" t="s">
        <v>97</v>
      </c>
      <c r="C392" s="28" t="s">
        <v>795</v>
      </c>
      <c r="D392" s="28" t="str">
        <f t="shared" si="125"/>
        <v/>
      </c>
      <c r="E392" s="256" t="str">
        <f t="shared" si="122"/>
        <v/>
      </c>
      <c r="F392" s="256" t="str">
        <f t="shared" si="126"/>
        <v/>
      </c>
      <c r="G392" s="159" t="str">
        <f t="shared" si="127"/>
        <v>rumus</v>
      </c>
      <c r="H392" s="39" t="s">
        <v>66</v>
      </c>
      <c r="I392" s="36"/>
      <c r="J392" s="36"/>
      <c r="K392" s="37" t="str">
        <f t="shared" si="123"/>
        <v>rumus</v>
      </c>
      <c r="L392" s="115" t="str">
        <f t="shared" si="124"/>
        <v xml:space="preserve"> </v>
      </c>
      <c r="M392" s="35"/>
    </row>
    <row r="393" spans="1:17" hidden="1" x14ac:dyDescent="0.45">
      <c r="A393" s="67">
        <v>8</v>
      </c>
      <c r="B393" s="186" t="s">
        <v>97</v>
      </c>
      <c r="C393" s="28" t="s">
        <v>795</v>
      </c>
      <c r="D393" s="28" t="str">
        <f t="shared" si="125"/>
        <v/>
      </c>
      <c r="E393" s="256" t="str">
        <f t="shared" si="122"/>
        <v/>
      </c>
      <c r="F393" s="256" t="str">
        <f t="shared" si="126"/>
        <v/>
      </c>
      <c r="G393" s="159" t="str">
        <f t="shared" si="127"/>
        <v>rumus</v>
      </c>
      <c r="H393" s="39" t="s">
        <v>66</v>
      </c>
      <c r="I393" s="36"/>
      <c r="J393" s="36"/>
      <c r="K393" s="37" t="str">
        <f t="shared" si="123"/>
        <v>rumus</v>
      </c>
      <c r="L393" s="115" t="str">
        <f t="shared" si="124"/>
        <v xml:space="preserve"> </v>
      </c>
      <c r="M393" s="35"/>
    </row>
    <row r="394" spans="1:17" hidden="1" x14ac:dyDescent="0.45">
      <c r="A394" s="67">
        <v>9</v>
      </c>
      <c r="B394" s="186" t="s">
        <v>97</v>
      </c>
      <c r="C394" s="28" t="s">
        <v>795</v>
      </c>
      <c r="D394" s="28" t="str">
        <f t="shared" si="125"/>
        <v/>
      </c>
      <c r="E394" s="256" t="str">
        <f t="shared" si="122"/>
        <v/>
      </c>
      <c r="F394" s="256" t="str">
        <f t="shared" si="126"/>
        <v/>
      </c>
      <c r="G394" s="159" t="str">
        <f t="shared" si="127"/>
        <v>rumus</v>
      </c>
      <c r="H394" s="39" t="s">
        <v>66</v>
      </c>
      <c r="I394" s="36"/>
      <c r="J394" s="36"/>
      <c r="K394" s="37" t="str">
        <f t="shared" si="123"/>
        <v>rumus</v>
      </c>
      <c r="L394" s="115" t="str">
        <f t="shared" si="124"/>
        <v xml:space="preserve"> </v>
      </c>
      <c r="M394" s="35"/>
    </row>
    <row r="395" spans="1:17" hidden="1" x14ac:dyDescent="0.45">
      <c r="A395" s="67">
        <v>10</v>
      </c>
      <c r="B395" s="186" t="s">
        <v>97</v>
      </c>
      <c r="C395" s="28" t="s">
        <v>795</v>
      </c>
      <c r="D395" s="28" t="str">
        <f t="shared" si="125"/>
        <v/>
      </c>
      <c r="E395" s="256" t="str">
        <f t="shared" si="122"/>
        <v/>
      </c>
      <c r="F395" s="256" t="str">
        <f t="shared" si="126"/>
        <v/>
      </c>
      <c r="G395" s="159" t="str">
        <f t="shared" si="127"/>
        <v>rumus</v>
      </c>
      <c r="H395" s="39" t="s">
        <v>66</v>
      </c>
      <c r="I395" s="36"/>
      <c r="J395" s="36"/>
      <c r="K395" s="37" t="str">
        <f t="shared" si="123"/>
        <v>rumus</v>
      </c>
      <c r="L395" s="115" t="str">
        <f t="shared" si="124"/>
        <v xml:space="preserve"> </v>
      </c>
      <c r="M395" s="35"/>
    </row>
    <row r="396" spans="1:17" hidden="1" x14ac:dyDescent="0.45">
      <c r="A396" s="67"/>
      <c r="B396" s="168" t="str">
        <f>"b. Semester Genap "&amp;IF(C397&lt;&gt;"",C397,"")&amp;" :"</f>
        <v>b. Semester Genap 2006/2007 :</v>
      </c>
      <c r="C396" s="57"/>
      <c r="D396" s="57"/>
      <c r="E396" s="57"/>
      <c r="F396" s="57"/>
      <c r="G396" s="57"/>
      <c r="H396" s="117"/>
      <c r="I396" s="35"/>
      <c r="M396" s="25">
        <f>IF(IF((COUNTIF(L386:L395,"Pembimbing Utama Laporan akhir studi"))&lt;=10,(SUMIF(L386:L395,"Pembimbing Utama Laporan akhir studi",K386:K395)),1*10)+IF((COUNTIF(L386:L395,"Pembimbing Pendamping Laporan akhir studi"))&lt;=10,(SUMIF(L386:L395,"Pembimbing Pendamping Laporan akhir studi",K386:K395)),0.5*10)+IF((COUNTIF(L386:L395,"Pembimbing Utama Skripsi"))&lt;=8,(SUMIF(L386:L395,"Pembimbing Utama Skripsi",K386:K395)),1*8)+IF((COUNTIF(L386:L395,"Pembimbing Pendamping Skripsi"))&lt;=8,(SUMIF(L386:L395,"Pembimbing Pendamping Skripsi",K386:K395)),1*8)+IF((COUNTIF(L386:L395,"Pembimbing Utama Tesis"))&lt;=6,(SUMIF(L386:L395,"Pembimbing Utama Tesis",K386:K395)),3*6)+IF((COUNTIF(L386:L395,"Pembimbing Pendamping Tesis"))&lt;=6,(SUMIF(L386:L395,"Pembimbing Pendamping Tesis",K386:K395)),2*6)+IF((COUNTIF(L386:L395,"Pembimbing Utama Disertasi"))&lt;=4,(SUMIF(L386:L395,"Pembimbing Utama Disertasi",K386:K395)),8*4)+IF((COUNTIF(L386:L395,"Pembimbing Pendamping Disertasi"))&lt;=4,(SUMIF(L386:L395,"Pembimbing Pendamping Disertasi",K386:K395)),6*4)&lt;=32,IF((COUNTIF(L386:L395,"Pembimbing Utama Laporan akhir studi"))&lt;=10,(SUMIF(L386:L395,"Pembimbing Utama Laporan akhir studi",K386:K395)),1*10)+IF((COUNTIF(L386:L395,"Pembimbing Pendamping Laporan akhir studi"))&lt;=10,(SUMIF(L386:L395,"Pembimbing Pendamping Laporan akhir studi",K386:K395)),0.5*10)+IF((COUNTIF(L386:L395,"Pembimbing Utama Skripsi"))&lt;=8,(SUMIF(L386:L395,"Pembimbing Utama Skripsi",K386:K395)),1*8)+IF((COUNTIF(L386:L395,"Pembimbing Pendamping Skripsi"))&lt;=8,(SUMIF(L386:L395,"Pembimbing Pendamping Skripsi",K386:K395)),1*8)+IF((COUNTIF(L386:L395,"Pembimbing Utama Tesis"))&lt;=6,(SUMIF(L386:L395,"Pembimbing Utama Tesis",K386:K395)),3*6)+IF((COUNTIF(L386:L395,"Pembimbing Pendamping Tesis"))&lt;=6,(SUMIF(L386:L395,"Pembimbing Pendamping Tesis",K386:K395)),2*6)+IF((COUNTIF(L386:L395,"Pembimbing Utama Disertasi"))&lt;=4,(SUMIF(L386:L395,"Pembimbing Utama Disertasi",K386:K395)),8*4)+IF((COUNTIF(L386:L395,"Pembimbing Pendamping Disertasi"))&lt;=4,(SUMIF(L386:L395,"Pembimbing Pendamping Disertasi",K386:K395)),6*4),32)</f>
        <v>0</v>
      </c>
      <c r="N396" s="33" t="str">
        <f>"Max 32"</f>
        <v>Max 32</v>
      </c>
    </row>
    <row r="397" spans="1:17" ht="15" hidden="1" customHeight="1" x14ac:dyDescent="0.45">
      <c r="A397" s="67">
        <v>1</v>
      </c>
      <c r="B397" s="186" t="s">
        <v>97</v>
      </c>
      <c r="C397" s="28" t="s">
        <v>143</v>
      </c>
      <c r="D397" s="28" t="str">
        <f>IF(G397&lt;&gt;"rumus","Lulusan","")</f>
        <v/>
      </c>
      <c r="E397" s="256" t="str">
        <f t="shared" ref="E397:E406" si="128">IF(I397&lt;&gt;"",1,"")</f>
        <v/>
      </c>
      <c r="F397" s="256" t="str">
        <f>IF(I397&lt;&gt;"",K397,"")</f>
        <v/>
      </c>
      <c r="G397" s="159" t="str">
        <f>IF(K397&lt;&gt;"rumus","1 x "&amp;K397&amp;" = "&amp;K397,"rumus")</f>
        <v>rumus</v>
      </c>
      <c r="H397" s="28" t="s">
        <v>620</v>
      </c>
      <c r="I397" s="36"/>
      <c r="J397" s="36"/>
      <c r="K397" s="37" t="str">
        <f t="shared" ref="K397:K406" si="129">IF(AND(I397&lt;&gt;"",J397&lt;&gt;""),IF(I397="Pembimbing Utama",IF(J397="Disertasi",8,IF(J397="Tesis",3,IF(J397="Skripsi",1,IF(J397="Laporan akhir studi",1,"")))),IF(I397="Pembimbing Pendamping",IF(J397="Disertasi",6,IF(J397="Tesis",2,IF(J397="Skripsi",0.5,IF(J397="Laporan akhir studi",0.5,"")))))),"rumus")</f>
        <v>rumus</v>
      </c>
      <c r="L397" s="115" t="str">
        <f t="shared" ref="L397:L406" si="130">I397&amp;" "&amp;J397</f>
        <v xml:space="preserve"> </v>
      </c>
      <c r="M397" s="35"/>
    </row>
    <row r="398" spans="1:17" ht="15" hidden="1" customHeight="1" x14ac:dyDescent="0.45">
      <c r="A398" s="67">
        <v>2</v>
      </c>
      <c r="B398" s="186" t="s">
        <v>97</v>
      </c>
      <c r="C398" s="28" t="s">
        <v>143</v>
      </c>
      <c r="D398" s="28" t="str">
        <f t="shared" ref="D398:D406" si="131">IF(G398&lt;&gt;"rumus","Lulusan","")</f>
        <v/>
      </c>
      <c r="E398" s="256" t="str">
        <f t="shared" si="128"/>
        <v/>
      </c>
      <c r="F398" s="256" t="str">
        <f t="shared" ref="F398:F406" si="132">IF(I398&lt;&gt;"",K398,"")</f>
        <v/>
      </c>
      <c r="G398" s="159" t="str">
        <f t="shared" ref="G398:G406" si="133">IF(K398&lt;&gt;"rumus","1 x "&amp;K398&amp;" = "&amp;K398,"rumus")</f>
        <v>rumus</v>
      </c>
      <c r="H398" s="39" t="s">
        <v>66</v>
      </c>
      <c r="I398" s="36"/>
      <c r="J398" s="36"/>
      <c r="K398" s="37" t="str">
        <f t="shared" si="129"/>
        <v>rumus</v>
      </c>
      <c r="L398" s="115" t="str">
        <f t="shared" si="130"/>
        <v xml:space="preserve"> </v>
      </c>
      <c r="M398" s="35"/>
    </row>
    <row r="399" spans="1:17" ht="15" hidden="1" customHeight="1" x14ac:dyDescent="0.45">
      <c r="A399" s="67">
        <v>3</v>
      </c>
      <c r="B399" s="186" t="s">
        <v>97</v>
      </c>
      <c r="C399" s="28" t="s">
        <v>143</v>
      </c>
      <c r="D399" s="28" t="str">
        <f t="shared" si="131"/>
        <v/>
      </c>
      <c r="E399" s="256" t="str">
        <f t="shared" si="128"/>
        <v/>
      </c>
      <c r="F399" s="256" t="str">
        <f t="shared" si="132"/>
        <v/>
      </c>
      <c r="G399" s="159" t="str">
        <f t="shared" si="133"/>
        <v>rumus</v>
      </c>
      <c r="H399" s="39" t="s">
        <v>66</v>
      </c>
      <c r="I399" s="36"/>
      <c r="J399" s="36"/>
      <c r="K399" s="37" t="str">
        <f t="shared" si="129"/>
        <v>rumus</v>
      </c>
      <c r="L399" s="115" t="str">
        <f t="shared" si="130"/>
        <v xml:space="preserve"> </v>
      </c>
      <c r="M399" s="35"/>
    </row>
    <row r="400" spans="1:17" ht="15" hidden="1" customHeight="1" x14ac:dyDescent="0.45">
      <c r="A400" s="67">
        <v>4</v>
      </c>
      <c r="B400" s="186" t="s">
        <v>97</v>
      </c>
      <c r="C400" s="28" t="s">
        <v>143</v>
      </c>
      <c r="D400" s="28" t="str">
        <f t="shared" si="131"/>
        <v/>
      </c>
      <c r="E400" s="256" t="str">
        <f t="shared" si="128"/>
        <v/>
      </c>
      <c r="F400" s="256" t="str">
        <f t="shared" si="132"/>
        <v/>
      </c>
      <c r="G400" s="159" t="str">
        <f t="shared" si="133"/>
        <v>rumus</v>
      </c>
      <c r="H400" s="39" t="s">
        <v>66</v>
      </c>
      <c r="I400" s="36"/>
      <c r="J400" s="36"/>
      <c r="K400" s="37" t="str">
        <f t="shared" si="129"/>
        <v>rumus</v>
      </c>
      <c r="L400" s="115" t="str">
        <f t="shared" si="130"/>
        <v xml:space="preserve"> </v>
      </c>
      <c r="M400" s="35"/>
    </row>
    <row r="401" spans="1:14" ht="15" hidden="1" customHeight="1" x14ac:dyDescent="0.45">
      <c r="A401" s="67">
        <v>5</v>
      </c>
      <c r="B401" s="186" t="s">
        <v>97</v>
      </c>
      <c r="C401" s="28" t="s">
        <v>143</v>
      </c>
      <c r="D401" s="28" t="str">
        <f t="shared" si="131"/>
        <v/>
      </c>
      <c r="E401" s="256" t="str">
        <f t="shared" si="128"/>
        <v/>
      </c>
      <c r="F401" s="256" t="str">
        <f t="shared" si="132"/>
        <v/>
      </c>
      <c r="G401" s="159" t="str">
        <f t="shared" si="133"/>
        <v>rumus</v>
      </c>
      <c r="H401" s="39" t="s">
        <v>66</v>
      </c>
      <c r="I401" s="36"/>
      <c r="J401" s="36"/>
      <c r="K401" s="37" t="str">
        <f t="shared" si="129"/>
        <v>rumus</v>
      </c>
      <c r="L401" s="115" t="str">
        <f t="shared" si="130"/>
        <v xml:space="preserve"> </v>
      </c>
      <c r="M401" s="35"/>
    </row>
    <row r="402" spans="1:14" ht="15" hidden="1" customHeight="1" x14ac:dyDescent="0.45">
      <c r="A402" s="67">
        <v>6</v>
      </c>
      <c r="B402" s="186" t="s">
        <v>97</v>
      </c>
      <c r="C402" s="28" t="s">
        <v>143</v>
      </c>
      <c r="D402" s="28" t="str">
        <f t="shared" si="131"/>
        <v/>
      </c>
      <c r="E402" s="256" t="str">
        <f t="shared" si="128"/>
        <v/>
      </c>
      <c r="F402" s="256" t="str">
        <f t="shared" si="132"/>
        <v/>
      </c>
      <c r="G402" s="159" t="str">
        <f t="shared" si="133"/>
        <v>rumus</v>
      </c>
      <c r="H402" s="39" t="s">
        <v>66</v>
      </c>
      <c r="I402" s="36"/>
      <c r="J402" s="36"/>
      <c r="K402" s="37" t="str">
        <f t="shared" si="129"/>
        <v>rumus</v>
      </c>
      <c r="L402" s="115" t="str">
        <f t="shared" si="130"/>
        <v xml:space="preserve"> </v>
      </c>
      <c r="M402" s="35"/>
    </row>
    <row r="403" spans="1:14" ht="15" hidden="1" customHeight="1" x14ac:dyDescent="0.45">
      <c r="A403" s="67">
        <v>7</v>
      </c>
      <c r="B403" s="186" t="s">
        <v>97</v>
      </c>
      <c r="C403" s="28" t="s">
        <v>143</v>
      </c>
      <c r="D403" s="28" t="str">
        <f t="shared" si="131"/>
        <v/>
      </c>
      <c r="E403" s="256" t="str">
        <f t="shared" si="128"/>
        <v/>
      </c>
      <c r="F403" s="256" t="str">
        <f t="shared" si="132"/>
        <v/>
      </c>
      <c r="G403" s="159" t="str">
        <f t="shared" si="133"/>
        <v>rumus</v>
      </c>
      <c r="H403" s="39" t="s">
        <v>66</v>
      </c>
      <c r="I403" s="36"/>
      <c r="J403" s="36"/>
      <c r="K403" s="37" t="str">
        <f t="shared" si="129"/>
        <v>rumus</v>
      </c>
      <c r="L403" s="115" t="str">
        <f t="shared" si="130"/>
        <v xml:space="preserve"> </v>
      </c>
      <c r="M403" s="35"/>
    </row>
    <row r="404" spans="1:14" ht="15" hidden="1" customHeight="1" x14ac:dyDescent="0.45">
      <c r="A404" s="67">
        <v>8</v>
      </c>
      <c r="B404" s="186" t="s">
        <v>97</v>
      </c>
      <c r="C404" s="28" t="s">
        <v>143</v>
      </c>
      <c r="D404" s="28" t="str">
        <f t="shared" si="131"/>
        <v/>
      </c>
      <c r="E404" s="256" t="str">
        <f t="shared" si="128"/>
        <v/>
      </c>
      <c r="F404" s="256" t="str">
        <f t="shared" si="132"/>
        <v/>
      </c>
      <c r="G404" s="159" t="str">
        <f t="shared" si="133"/>
        <v>rumus</v>
      </c>
      <c r="H404" s="39" t="s">
        <v>66</v>
      </c>
      <c r="I404" s="36"/>
      <c r="J404" s="36"/>
      <c r="K404" s="37" t="str">
        <f t="shared" si="129"/>
        <v>rumus</v>
      </c>
      <c r="L404" s="115" t="str">
        <f t="shared" si="130"/>
        <v xml:space="preserve"> </v>
      </c>
      <c r="M404" s="35"/>
    </row>
    <row r="405" spans="1:14" ht="15" hidden="1" customHeight="1" x14ac:dyDescent="0.45">
      <c r="A405" s="67">
        <v>9</v>
      </c>
      <c r="B405" s="186" t="s">
        <v>97</v>
      </c>
      <c r="C405" s="28" t="s">
        <v>143</v>
      </c>
      <c r="D405" s="28" t="str">
        <f t="shared" si="131"/>
        <v/>
      </c>
      <c r="E405" s="256" t="str">
        <f t="shared" si="128"/>
        <v/>
      </c>
      <c r="F405" s="256" t="str">
        <f t="shared" si="132"/>
        <v/>
      </c>
      <c r="G405" s="159" t="str">
        <f t="shared" si="133"/>
        <v>rumus</v>
      </c>
      <c r="H405" s="39" t="s">
        <v>66</v>
      </c>
      <c r="I405" s="36"/>
      <c r="J405" s="36"/>
      <c r="K405" s="37" t="str">
        <f t="shared" si="129"/>
        <v>rumus</v>
      </c>
      <c r="L405" s="115" t="str">
        <f t="shared" si="130"/>
        <v xml:space="preserve"> </v>
      </c>
      <c r="M405" s="35"/>
    </row>
    <row r="406" spans="1:14" ht="15" hidden="1" customHeight="1" x14ac:dyDescent="0.45">
      <c r="A406" s="67">
        <v>10</v>
      </c>
      <c r="B406" s="186" t="s">
        <v>97</v>
      </c>
      <c r="C406" s="28" t="s">
        <v>143</v>
      </c>
      <c r="D406" s="28" t="str">
        <f t="shared" si="131"/>
        <v/>
      </c>
      <c r="E406" s="256" t="str">
        <f t="shared" si="128"/>
        <v/>
      </c>
      <c r="F406" s="256" t="str">
        <f t="shared" si="132"/>
        <v/>
      </c>
      <c r="G406" s="159" t="str">
        <f t="shared" si="133"/>
        <v>rumus</v>
      </c>
      <c r="H406" s="39" t="s">
        <v>66</v>
      </c>
      <c r="I406" s="36"/>
      <c r="J406" s="36"/>
      <c r="K406" s="37" t="str">
        <f t="shared" si="129"/>
        <v>rumus</v>
      </c>
      <c r="L406" s="115" t="str">
        <f t="shared" si="130"/>
        <v xml:space="preserve"> </v>
      </c>
      <c r="M406" s="35"/>
    </row>
    <row r="407" spans="1:14" hidden="1" x14ac:dyDescent="0.45">
      <c r="A407" s="67"/>
      <c r="B407" s="168" t="str">
        <f>"b. Semester Genap "&amp;IF(C408&lt;&gt;"",C408,"")&amp;" :"</f>
        <v>b. Semester Genap 2007/2008 :</v>
      </c>
      <c r="C407" s="57"/>
      <c r="D407" s="57"/>
      <c r="E407" s="57"/>
      <c r="F407" s="57"/>
      <c r="G407" s="57"/>
      <c r="H407" s="124"/>
      <c r="I407" s="35"/>
      <c r="M407" s="25">
        <f>IF(IF((COUNTIF(L397:L406,"Pembimbing Utama Laporan akhir studi"))&lt;=10,(SUMIF(L397:L406,"Pembimbing Utama Laporan akhir studi",K397:K406)),1*10)+IF((COUNTIF(L397:L406,"Pembimbing Pendamping Laporan akhir studi"))&lt;=10,(SUMIF(L397:L406,"Pembimbing Pendamping Laporan akhir studi",K397:K406)),0.5*10)+IF((COUNTIF(L397:L406,"Pembimbing Utama Skripsi"))&lt;=8,(SUMIF(L397:L406,"Pembimbing Utama Skripsi",K397:K406)),1*8)+IF((COUNTIF(L397:L406,"Pembimbing Pendamping Skripsi"))&lt;=8,(SUMIF(L397:L406,"Pembimbing Pendamping Skripsi",K397:K406)),1*8)+IF((COUNTIF(L397:L406,"Pembimbing Utama Tesis"))&lt;=6,(SUMIF(L397:L406,"Pembimbing Utama Tesis",K397:K406)),3*6)+IF((COUNTIF(L397:L406,"Pembimbing Pendamping Tesis"))&lt;=6,(SUMIF(L397:L406,"Pembimbing Pendamping Tesis",K397:K406)),2*6)+IF((COUNTIF(L397:L406,"Pembimbing Utama Disertasi"))&lt;=4,(SUMIF(L397:L406,"Pembimbing Utama Disertasi",K397:K406)),8*4)+IF((COUNTIF(L397:L406,"Pembimbing Pendamping Disertasi"))&lt;=4,(SUMIF(L397:L406,"Pembimbing Pendamping Disertasi",K397:K406)),6*4)&lt;=32,IF((COUNTIF(L397:L406,"Pembimbing Utama Laporan akhir studi"))&lt;=10,(SUMIF(L397:L406,"Pembimbing Utama Laporan akhir studi",K397:K406)),1*10)+IF((COUNTIF(L397:L406,"Pembimbing Pendamping Laporan akhir studi"))&lt;=10,(SUMIF(L397:L406,"Pembimbing Pendamping Laporan akhir studi",K397:K406)),0.5*10)+IF((COUNTIF(L397:L406,"Pembimbing Utama Skripsi"))&lt;=8,(SUMIF(L397:L406,"Pembimbing Utama Skripsi",K397:K406)),1*8)+IF((COUNTIF(L397:L406,"Pembimbing Pendamping Skripsi"))&lt;=8,(SUMIF(L397:L406,"Pembimbing Pendamping Skripsi",K397:K406)),1*8)+IF((COUNTIF(L397:L406,"Pembimbing Utama Tesis"))&lt;=6,(SUMIF(L397:L406,"Pembimbing Utama Tesis",K397:K406)),3*6)+IF((COUNTIF(L397:L406,"Pembimbing Pendamping Tesis"))&lt;=6,(SUMIF(L397:L406,"Pembimbing Pendamping Tesis",K397:K406)),2*6)+IF((COUNTIF(L397:L406,"Pembimbing Utama Disertasi"))&lt;=4,(SUMIF(L397:L406,"Pembimbing Utama Disertasi",K397:K406)),8*4)+IF((COUNTIF(L397:L406,"Pembimbing Pendamping Disertasi"))&lt;=4,(SUMIF(L397:L406,"Pembimbing Pendamping Disertasi",K397:K406)),6*4),32)</f>
        <v>0</v>
      </c>
      <c r="N407" s="33" t="str">
        <f>"Max 32"</f>
        <v>Max 32</v>
      </c>
    </row>
    <row r="408" spans="1:14" ht="15" hidden="1" customHeight="1" x14ac:dyDescent="0.45">
      <c r="A408" s="67">
        <v>1</v>
      </c>
      <c r="B408" s="186" t="s">
        <v>97</v>
      </c>
      <c r="C408" s="28" t="s">
        <v>144</v>
      </c>
      <c r="D408" s="28" t="str">
        <f>IF(G408&lt;&gt;"rumus","Lulusan","")</f>
        <v/>
      </c>
      <c r="E408" s="256" t="str">
        <f t="shared" ref="E408:E417" si="134">IF(I408&lt;&gt;"",1,"")</f>
        <v/>
      </c>
      <c r="F408" s="256" t="str">
        <f>IF(I408&lt;&gt;"",K408,"")</f>
        <v/>
      </c>
      <c r="G408" s="159" t="str">
        <f>IF(K408&lt;&gt;"rumus","1 x "&amp;K408&amp;" = "&amp;K408,"rumus")</f>
        <v>rumus</v>
      </c>
      <c r="H408" s="28" t="s">
        <v>620</v>
      </c>
      <c r="I408" s="36"/>
      <c r="J408" s="36"/>
      <c r="K408" s="37" t="str">
        <f t="shared" ref="K408:K417" si="135">IF(AND(I408&lt;&gt;"",J408&lt;&gt;""),IF(I408="Pembimbing Utama",IF(J408="Disertasi",8,IF(J408="Tesis",3,IF(J408="Skripsi",1,IF(J408="Laporan akhir studi",1,"")))),IF(I408="Pembimbing Pendamping",IF(J408="Disertasi",6,IF(J408="Tesis",2,IF(J408="Skripsi",0.5,IF(J408="Laporan akhir studi",0.5,"")))))),"rumus")</f>
        <v>rumus</v>
      </c>
      <c r="L408" s="115" t="str">
        <f t="shared" ref="L408:L417" si="136">I408&amp;" "&amp;J408</f>
        <v xml:space="preserve"> </v>
      </c>
      <c r="M408" s="35"/>
    </row>
    <row r="409" spans="1:14" ht="15" hidden="1" customHeight="1" x14ac:dyDescent="0.45">
      <c r="A409" s="67">
        <v>2</v>
      </c>
      <c r="B409" s="186" t="s">
        <v>97</v>
      </c>
      <c r="C409" s="28" t="s">
        <v>144</v>
      </c>
      <c r="D409" s="28" t="str">
        <f t="shared" ref="D409:D417" si="137">IF(G409&lt;&gt;"rumus","Lulusan","")</f>
        <v/>
      </c>
      <c r="E409" s="256" t="str">
        <f t="shared" si="134"/>
        <v/>
      </c>
      <c r="F409" s="256" t="str">
        <f t="shared" ref="F409:F417" si="138">IF(I409&lt;&gt;"",K409,"")</f>
        <v/>
      </c>
      <c r="G409" s="159" t="str">
        <f t="shared" ref="G409:G417" si="139">IF(K409&lt;&gt;"rumus","1 x "&amp;K409&amp;" = "&amp;K409,"rumus")</f>
        <v>rumus</v>
      </c>
      <c r="H409" s="39" t="s">
        <v>66</v>
      </c>
      <c r="I409" s="36"/>
      <c r="J409" s="36"/>
      <c r="K409" s="37" t="str">
        <f t="shared" si="135"/>
        <v>rumus</v>
      </c>
      <c r="L409" s="115" t="str">
        <f t="shared" si="136"/>
        <v xml:space="preserve"> </v>
      </c>
      <c r="M409" s="35"/>
    </row>
    <row r="410" spans="1:14" ht="15" hidden="1" customHeight="1" x14ac:dyDescent="0.45">
      <c r="A410" s="67">
        <v>3</v>
      </c>
      <c r="B410" s="186" t="s">
        <v>97</v>
      </c>
      <c r="C410" s="28" t="s">
        <v>144</v>
      </c>
      <c r="D410" s="28" t="str">
        <f t="shared" si="137"/>
        <v/>
      </c>
      <c r="E410" s="256" t="str">
        <f t="shared" si="134"/>
        <v/>
      </c>
      <c r="F410" s="256" t="str">
        <f t="shared" si="138"/>
        <v/>
      </c>
      <c r="G410" s="159" t="str">
        <f t="shared" si="139"/>
        <v>rumus</v>
      </c>
      <c r="H410" s="39" t="s">
        <v>66</v>
      </c>
      <c r="I410" s="36"/>
      <c r="J410" s="36"/>
      <c r="K410" s="37" t="str">
        <f t="shared" si="135"/>
        <v>rumus</v>
      </c>
      <c r="L410" s="115" t="str">
        <f t="shared" si="136"/>
        <v xml:space="preserve"> </v>
      </c>
      <c r="M410" s="35"/>
    </row>
    <row r="411" spans="1:14" ht="15" hidden="1" customHeight="1" x14ac:dyDescent="0.45">
      <c r="A411" s="67">
        <v>4</v>
      </c>
      <c r="B411" s="186" t="s">
        <v>97</v>
      </c>
      <c r="C411" s="28" t="s">
        <v>144</v>
      </c>
      <c r="D411" s="28" t="str">
        <f t="shared" si="137"/>
        <v/>
      </c>
      <c r="E411" s="256" t="str">
        <f t="shared" si="134"/>
        <v/>
      </c>
      <c r="F411" s="256" t="str">
        <f t="shared" si="138"/>
        <v/>
      </c>
      <c r="G411" s="159" t="str">
        <f t="shared" si="139"/>
        <v>rumus</v>
      </c>
      <c r="H411" s="39" t="s">
        <v>66</v>
      </c>
      <c r="I411" s="36"/>
      <c r="J411" s="36"/>
      <c r="K411" s="37" t="str">
        <f t="shared" si="135"/>
        <v>rumus</v>
      </c>
      <c r="L411" s="115" t="str">
        <f t="shared" si="136"/>
        <v xml:space="preserve"> </v>
      </c>
      <c r="M411" s="35"/>
    </row>
    <row r="412" spans="1:14" ht="15" hidden="1" customHeight="1" x14ac:dyDescent="0.45">
      <c r="A412" s="67">
        <v>5</v>
      </c>
      <c r="B412" s="186" t="s">
        <v>97</v>
      </c>
      <c r="C412" s="28" t="s">
        <v>144</v>
      </c>
      <c r="D412" s="28" t="str">
        <f t="shared" si="137"/>
        <v/>
      </c>
      <c r="E412" s="256" t="str">
        <f t="shared" si="134"/>
        <v/>
      </c>
      <c r="F412" s="256" t="str">
        <f t="shared" si="138"/>
        <v/>
      </c>
      <c r="G412" s="159" t="str">
        <f t="shared" si="139"/>
        <v>rumus</v>
      </c>
      <c r="H412" s="39" t="s">
        <v>66</v>
      </c>
      <c r="I412" s="36"/>
      <c r="J412" s="36"/>
      <c r="K412" s="37" t="str">
        <f t="shared" si="135"/>
        <v>rumus</v>
      </c>
      <c r="L412" s="115" t="str">
        <f t="shared" si="136"/>
        <v xml:space="preserve"> </v>
      </c>
      <c r="M412" s="35"/>
    </row>
    <row r="413" spans="1:14" ht="15" hidden="1" customHeight="1" x14ac:dyDescent="0.45">
      <c r="A413" s="67">
        <v>6</v>
      </c>
      <c r="B413" s="186" t="s">
        <v>97</v>
      </c>
      <c r="C413" s="28" t="s">
        <v>144</v>
      </c>
      <c r="D413" s="28" t="str">
        <f t="shared" si="137"/>
        <v/>
      </c>
      <c r="E413" s="256" t="str">
        <f t="shared" si="134"/>
        <v/>
      </c>
      <c r="F413" s="256" t="str">
        <f t="shared" si="138"/>
        <v/>
      </c>
      <c r="G413" s="159" t="str">
        <f t="shared" si="139"/>
        <v>rumus</v>
      </c>
      <c r="H413" s="39" t="s">
        <v>66</v>
      </c>
      <c r="I413" s="36"/>
      <c r="J413" s="36"/>
      <c r="K413" s="37" t="str">
        <f t="shared" si="135"/>
        <v>rumus</v>
      </c>
      <c r="L413" s="115" t="str">
        <f t="shared" si="136"/>
        <v xml:space="preserve"> </v>
      </c>
      <c r="M413" s="35"/>
    </row>
    <row r="414" spans="1:14" ht="15" hidden="1" customHeight="1" x14ac:dyDescent="0.45">
      <c r="A414" s="67">
        <v>7</v>
      </c>
      <c r="B414" s="186" t="s">
        <v>97</v>
      </c>
      <c r="C414" s="28" t="s">
        <v>144</v>
      </c>
      <c r="D414" s="28" t="str">
        <f t="shared" si="137"/>
        <v/>
      </c>
      <c r="E414" s="256" t="str">
        <f t="shared" si="134"/>
        <v/>
      </c>
      <c r="F414" s="256" t="str">
        <f t="shared" si="138"/>
        <v/>
      </c>
      <c r="G414" s="159" t="str">
        <f t="shared" si="139"/>
        <v>rumus</v>
      </c>
      <c r="H414" s="39" t="s">
        <v>66</v>
      </c>
      <c r="I414" s="36"/>
      <c r="J414" s="36"/>
      <c r="K414" s="37" t="str">
        <f t="shared" si="135"/>
        <v>rumus</v>
      </c>
      <c r="L414" s="115" t="str">
        <f t="shared" si="136"/>
        <v xml:space="preserve"> </v>
      </c>
      <c r="M414" s="35"/>
    </row>
    <row r="415" spans="1:14" ht="15" hidden="1" customHeight="1" x14ac:dyDescent="0.45">
      <c r="A415" s="67">
        <v>8</v>
      </c>
      <c r="B415" s="186" t="s">
        <v>97</v>
      </c>
      <c r="C415" s="28" t="s">
        <v>144</v>
      </c>
      <c r="D415" s="28" t="str">
        <f t="shared" si="137"/>
        <v/>
      </c>
      <c r="E415" s="256" t="str">
        <f t="shared" si="134"/>
        <v/>
      </c>
      <c r="F415" s="256" t="str">
        <f t="shared" si="138"/>
        <v/>
      </c>
      <c r="G415" s="159" t="str">
        <f t="shared" si="139"/>
        <v>rumus</v>
      </c>
      <c r="H415" s="39" t="s">
        <v>66</v>
      </c>
      <c r="I415" s="36"/>
      <c r="J415" s="36"/>
      <c r="K415" s="37" t="str">
        <f t="shared" si="135"/>
        <v>rumus</v>
      </c>
      <c r="L415" s="115" t="str">
        <f t="shared" si="136"/>
        <v xml:space="preserve"> </v>
      </c>
      <c r="M415" s="35"/>
    </row>
    <row r="416" spans="1:14" ht="15" hidden="1" customHeight="1" x14ac:dyDescent="0.45">
      <c r="A416" s="67">
        <v>9</v>
      </c>
      <c r="B416" s="186" t="s">
        <v>97</v>
      </c>
      <c r="C416" s="28" t="s">
        <v>144</v>
      </c>
      <c r="D416" s="28" t="str">
        <f t="shared" si="137"/>
        <v/>
      </c>
      <c r="E416" s="256" t="str">
        <f t="shared" si="134"/>
        <v/>
      </c>
      <c r="F416" s="256" t="str">
        <f t="shared" si="138"/>
        <v/>
      </c>
      <c r="G416" s="159" t="str">
        <f t="shared" si="139"/>
        <v>rumus</v>
      </c>
      <c r="H416" s="39" t="s">
        <v>66</v>
      </c>
      <c r="I416" s="36"/>
      <c r="J416" s="36"/>
      <c r="K416" s="37" t="str">
        <f t="shared" si="135"/>
        <v>rumus</v>
      </c>
      <c r="L416" s="115" t="str">
        <f t="shared" si="136"/>
        <v xml:space="preserve"> </v>
      </c>
      <c r="M416" s="35"/>
    </row>
    <row r="417" spans="1:14" ht="15" hidden="1" customHeight="1" x14ac:dyDescent="0.45">
      <c r="A417" s="67">
        <v>10</v>
      </c>
      <c r="B417" s="186" t="s">
        <v>97</v>
      </c>
      <c r="C417" s="28" t="s">
        <v>144</v>
      </c>
      <c r="D417" s="28" t="str">
        <f t="shared" si="137"/>
        <v/>
      </c>
      <c r="E417" s="256" t="str">
        <f t="shared" si="134"/>
        <v/>
      </c>
      <c r="F417" s="256" t="str">
        <f t="shared" si="138"/>
        <v/>
      </c>
      <c r="G417" s="159" t="str">
        <f t="shared" si="139"/>
        <v>rumus</v>
      </c>
      <c r="H417" s="39" t="s">
        <v>66</v>
      </c>
      <c r="I417" s="36"/>
      <c r="J417" s="36"/>
      <c r="K417" s="37" t="str">
        <f t="shared" si="135"/>
        <v>rumus</v>
      </c>
      <c r="L417" s="115" t="str">
        <f t="shared" si="136"/>
        <v xml:space="preserve"> </v>
      </c>
      <c r="M417" s="35"/>
    </row>
    <row r="418" spans="1:14" hidden="1" x14ac:dyDescent="0.45">
      <c r="A418" s="67"/>
      <c r="B418" s="168" t="str">
        <f>"b. Semester Genap "&amp;IF(C419&lt;&gt;"",C419,"")&amp;" :"</f>
        <v>b. Semester Genap 2008/2009 :</v>
      </c>
      <c r="C418" s="57"/>
      <c r="D418" s="57"/>
      <c r="E418" s="57"/>
      <c r="F418" s="57"/>
      <c r="G418" s="57"/>
      <c r="H418" s="124"/>
      <c r="I418" s="35"/>
      <c r="M418" s="25">
        <f>IF(IF((COUNTIF(L408:L417,"Pembimbing Utama Laporan akhir studi"))&lt;=10,(SUMIF(L408:L417,"Pembimbing Utama Laporan akhir studi",K408:K417)),1*10)+IF((COUNTIF(L408:L417,"Pembimbing Pendamping Laporan akhir studi"))&lt;=10,(SUMIF(L408:L417,"Pembimbing Pendamping Laporan akhir studi",K408:K417)),0.5*10)+IF((COUNTIF(L408:L417,"Pembimbing Utama Skripsi"))&lt;=8,(SUMIF(L408:L417,"Pembimbing Utama Skripsi",K408:K417)),1*8)+IF((COUNTIF(L408:L417,"Pembimbing Pendamping Skripsi"))&lt;=8,(SUMIF(L408:L417,"Pembimbing Pendamping Skripsi",K408:K417)),1*8)+IF((COUNTIF(L408:L417,"Pembimbing Utama Tesis"))&lt;=6,(SUMIF(L408:L417,"Pembimbing Utama Tesis",K408:K417)),3*6)+IF((COUNTIF(L408:L417,"Pembimbing Pendamping Tesis"))&lt;=6,(SUMIF(L408:L417,"Pembimbing Pendamping Tesis",K408:K417)),2*6)+IF((COUNTIF(L408:L417,"Pembimbing Utama Disertasi"))&lt;=4,(SUMIF(L408:L417,"Pembimbing Utama Disertasi",K408:K417)),8*4)+IF((COUNTIF(L408:L417,"Pembimbing Pendamping Disertasi"))&lt;=4,(SUMIF(L408:L417,"Pembimbing Pendamping Disertasi",K408:K417)),6*4)&lt;=32,IF((COUNTIF(L408:L417,"Pembimbing Utama Laporan akhir studi"))&lt;=10,(SUMIF(L408:L417,"Pembimbing Utama Laporan akhir studi",K408:K417)),1*10)+IF((COUNTIF(L408:L417,"Pembimbing Pendamping Laporan akhir studi"))&lt;=10,(SUMIF(L408:L417,"Pembimbing Pendamping Laporan akhir studi",K408:K417)),0.5*10)+IF((COUNTIF(L408:L417,"Pembimbing Utama Skripsi"))&lt;=8,(SUMIF(L408:L417,"Pembimbing Utama Skripsi",K408:K417)),1*8)+IF((COUNTIF(L408:L417,"Pembimbing Pendamping Skripsi"))&lt;=8,(SUMIF(L408:L417,"Pembimbing Pendamping Skripsi",K408:K417)),1*8)+IF((COUNTIF(L408:L417,"Pembimbing Utama Tesis"))&lt;=6,(SUMIF(L408:L417,"Pembimbing Utama Tesis",K408:K417)),3*6)+IF((COUNTIF(L408:L417,"Pembimbing Pendamping Tesis"))&lt;=6,(SUMIF(L408:L417,"Pembimbing Pendamping Tesis",K408:K417)),2*6)+IF((COUNTIF(L408:L417,"Pembimbing Utama Disertasi"))&lt;=4,(SUMIF(L408:L417,"Pembimbing Utama Disertasi",K408:K417)),8*4)+IF((COUNTIF(L408:L417,"Pembimbing Pendamping Disertasi"))&lt;=4,(SUMIF(L408:L417,"Pembimbing Pendamping Disertasi",K408:K417)),6*4),32)</f>
        <v>0</v>
      </c>
      <c r="N418" s="33" t="str">
        <f>"Max 32"</f>
        <v>Max 32</v>
      </c>
    </row>
    <row r="419" spans="1:14" ht="15" hidden="1" customHeight="1" x14ac:dyDescent="0.45">
      <c r="A419" s="67">
        <v>1</v>
      </c>
      <c r="B419" s="186" t="s">
        <v>97</v>
      </c>
      <c r="C419" s="28" t="s">
        <v>145</v>
      </c>
      <c r="D419" s="28" t="str">
        <f>IF(G419&lt;&gt;"rumus","Lulusan","")</f>
        <v/>
      </c>
      <c r="E419" s="256" t="str">
        <f t="shared" ref="E419:E428" si="140">IF(I419&lt;&gt;"",1,"")</f>
        <v/>
      </c>
      <c r="F419" s="256" t="str">
        <f>IF(I419&lt;&gt;"",K419,"")</f>
        <v/>
      </c>
      <c r="G419" s="159" t="str">
        <f>IF(K419&lt;&gt;"rumus","1 x "&amp;K419&amp;" = "&amp;K419,"rumus")</f>
        <v>rumus</v>
      </c>
      <c r="H419" s="28" t="s">
        <v>620</v>
      </c>
      <c r="I419" s="36"/>
      <c r="J419" s="36"/>
      <c r="K419" s="37" t="str">
        <f t="shared" ref="K419:K428" si="141">IF(AND(I419&lt;&gt;"",J419&lt;&gt;""),IF(I419="Pembimbing Utama",IF(J419="Disertasi",8,IF(J419="Tesis",3,IF(J419="Skripsi",1,IF(J419="Laporan akhir studi",1,"")))),IF(I419="Pembimbing Pendamping",IF(J419="Disertasi",6,IF(J419="Tesis",2,IF(J419="Skripsi",0.5,IF(J419="Laporan akhir studi",0.5,"")))))),"rumus")</f>
        <v>rumus</v>
      </c>
      <c r="L419" s="115" t="str">
        <f t="shared" ref="L419:L428" si="142">I419&amp;" "&amp;J419</f>
        <v xml:space="preserve"> </v>
      </c>
      <c r="M419" s="35"/>
    </row>
    <row r="420" spans="1:14" ht="15" hidden="1" customHeight="1" x14ac:dyDescent="0.45">
      <c r="A420" s="67">
        <v>2</v>
      </c>
      <c r="B420" s="186" t="s">
        <v>97</v>
      </c>
      <c r="C420" s="28" t="s">
        <v>145</v>
      </c>
      <c r="D420" s="28" t="str">
        <f t="shared" ref="D420:D428" si="143">IF(G420&lt;&gt;"rumus","Lulusan","")</f>
        <v/>
      </c>
      <c r="E420" s="256" t="str">
        <f t="shared" si="140"/>
        <v/>
      </c>
      <c r="F420" s="256" t="str">
        <f t="shared" ref="F420:F428" si="144">IF(I420&lt;&gt;"",K420,"")</f>
        <v/>
      </c>
      <c r="G420" s="159" t="str">
        <f t="shared" ref="G420:G428" si="145">IF(K420&lt;&gt;"rumus","1 x "&amp;K420&amp;" = "&amp;K420,"rumus")</f>
        <v>rumus</v>
      </c>
      <c r="H420" s="39" t="s">
        <v>66</v>
      </c>
      <c r="I420" s="36"/>
      <c r="J420" s="36"/>
      <c r="K420" s="37" t="str">
        <f t="shared" si="141"/>
        <v>rumus</v>
      </c>
      <c r="L420" s="115" t="str">
        <f t="shared" si="142"/>
        <v xml:space="preserve"> </v>
      </c>
      <c r="M420" s="35"/>
    </row>
    <row r="421" spans="1:14" ht="15" hidden="1" customHeight="1" x14ac:dyDescent="0.45">
      <c r="A421" s="67">
        <v>3</v>
      </c>
      <c r="B421" s="186" t="s">
        <v>97</v>
      </c>
      <c r="C421" s="28" t="s">
        <v>145</v>
      </c>
      <c r="D421" s="28" t="str">
        <f t="shared" si="143"/>
        <v/>
      </c>
      <c r="E421" s="256" t="str">
        <f t="shared" si="140"/>
        <v/>
      </c>
      <c r="F421" s="256" t="str">
        <f t="shared" si="144"/>
        <v/>
      </c>
      <c r="G421" s="159" t="str">
        <f t="shared" si="145"/>
        <v>rumus</v>
      </c>
      <c r="H421" s="39" t="s">
        <v>66</v>
      </c>
      <c r="I421" s="36"/>
      <c r="J421" s="36"/>
      <c r="K421" s="37" t="str">
        <f t="shared" si="141"/>
        <v>rumus</v>
      </c>
      <c r="L421" s="115" t="str">
        <f t="shared" si="142"/>
        <v xml:space="preserve"> </v>
      </c>
      <c r="M421" s="35"/>
    </row>
    <row r="422" spans="1:14" ht="15" hidden="1" customHeight="1" x14ac:dyDescent="0.45">
      <c r="A422" s="67">
        <v>4</v>
      </c>
      <c r="B422" s="186" t="s">
        <v>97</v>
      </c>
      <c r="C422" s="28" t="s">
        <v>145</v>
      </c>
      <c r="D422" s="28" t="str">
        <f t="shared" si="143"/>
        <v/>
      </c>
      <c r="E422" s="256" t="str">
        <f t="shared" si="140"/>
        <v/>
      </c>
      <c r="F422" s="256" t="str">
        <f t="shared" si="144"/>
        <v/>
      </c>
      <c r="G422" s="159" t="str">
        <f t="shared" si="145"/>
        <v>rumus</v>
      </c>
      <c r="H422" s="39" t="s">
        <v>66</v>
      </c>
      <c r="I422" s="36"/>
      <c r="J422" s="36"/>
      <c r="K422" s="37" t="str">
        <f t="shared" si="141"/>
        <v>rumus</v>
      </c>
      <c r="L422" s="115" t="str">
        <f t="shared" si="142"/>
        <v xml:space="preserve"> </v>
      </c>
      <c r="M422" s="35"/>
    </row>
    <row r="423" spans="1:14" ht="15" hidden="1" customHeight="1" x14ac:dyDescent="0.45">
      <c r="A423" s="67">
        <v>5</v>
      </c>
      <c r="B423" s="186" t="s">
        <v>97</v>
      </c>
      <c r="C423" s="28" t="s">
        <v>145</v>
      </c>
      <c r="D423" s="28" t="str">
        <f t="shared" si="143"/>
        <v/>
      </c>
      <c r="E423" s="256" t="str">
        <f t="shared" si="140"/>
        <v/>
      </c>
      <c r="F423" s="256" t="str">
        <f t="shared" si="144"/>
        <v/>
      </c>
      <c r="G423" s="159" t="str">
        <f t="shared" si="145"/>
        <v>rumus</v>
      </c>
      <c r="H423" s="39" t="s">
        <v>66</v>
      </c>
      <c r="I423" s="36"/>
      <c r="J423" s="36"/>
      <c r="K423" s="37" t="str">
        <f t="shared" si="141"/>
        <v>rumus</v>
      </c>
      <c r="L423" s="115" t="str">
        <f t="shared" si="142"/>
        <v xml:space="preserve"> </v>
      </c>
      <c r="M423" s="35"/>
    </row>
    <row r="424" spans="1:14" ht="15" hidden="1" customHeight="1" x14ac:dyDescent="0.45">
      <c r="A424" s="67">
        <v>6</v>
      </c>
      <c r="B424" s="186" t="s">
        <v>97</v>
      </c>
      <c r="C424" s="28" t="s">
        <v>145</v>
      </c>
      <c r="D424" s="28" t="str">
        <f t="shared" si="143"/>
        <v/>
      </c>
      <c r="E424" s="256" t="str">
        <f t="shared" si="140"/>
        <v/>
      </c>
      <c r="F424" s="256" t="str">
        <f t="shared" si="144"/>
        <v/>
      </c>
      <c r="G424" s="159" t="str">
        <f t="shared" si="145"/>
        <v>rumus</v>
      </c>
      <c r="H424" s="39" t="s">
        <v>66</v>
      </c>
      <c r="I424" s="36"/>
      <c r="J424" s="36"/>
      <c r="K424" s="37" t="str">
        <f t="shared" si="141"/>
        <v>rumus</v>
      </c>
      <c r="L424" s="115" t="str">
        <f t="shared" si="142"/>
        <v xml:space="preserve"> </v>
      </c>
      <c r="M424" s="35"/>
    </row>
    <row r="425" spans="1:14" ht="15" hidden="1" customHeight="1" x14ac:dyDescent="0.45">
      <c r="A425" s="67">
        <v>7</v>
      </c>
      <c r="B425" s="186" t="s">
        <v>97</v>
      </c>
      <c r="C425" s="28" t="s">
        <v>145</v>
      </c>
      <c r="D425" s="28" t="str">
        <f t="shared" si="143"/>
        <v/>
      </c>
      <c r="E425" s="256" t="str">
        <f t="shared" si="140"/>
        <v/>
      </c>
      <c r="F425" s="256" t="str">
        <f t="shared" si="144"/>
        <v/>
      </c>
      <c r="G425" s="159" t="str">
        <f t="shared" si="145"/>
        <v>rumus</v>
      </c>
      <c r="H425" s="39" t="s">
        <v>66</v>
      </c>
      <c r="I425" s="36"/>
      <c r="J425" s="36"/>
      <c r="K425" s="37" t="str">
        <f t="shared" si="141"/>
        <v>rumus</v>
      </c>
      <c r="L425" s="115" t="str">
        <f t="shared" si="142"/>
        <v xml:space="preserve"> </v>
      </c>
      <c r="M425" s="35"/>
    </row>
    <row r="426" spans="1:14" ht="15" hidden="1" customHeight="1" x14ac:dyDescent="0.45">
      <c r="A426" s="67">
        <v>8</v>
      </c>
      <c r="B426" s="186" t="s">
        <v>97</v>
      </c>
      <c r="C426" s="28" t="s">
        <v>145</v>
      </c>
      <c r="D426" s="28" t="str">
        <f t="shared" si="143"/>
        <v/>
      </c>
      <c r="E426" s="256" t="str">
        <f t="shared" si="140"/>
        <v/>
      </c>
      <c r="F426" s="256" t="str">
        <f t="shared" si="144"/>
        <v/>
      </c>
      <c r="G426" s="159" t="str">
        <f t="shared" si="145"/>
        <v>rumus</v>
      </c>
      <c r="H426" s="39" t="s">
        <v>66</v>
      </c>
      <c r="I426" s="36"/>
      <c r="J426" s="36"/>
      <c r="K426" s="37" t="str">
        <f t="shared" si="141"/>
        <v>rumus</v>
      </c>
      <c r="L426" s="115" t="str">
        <f t="shared" si="142"/>
        <v xml:space="preserve"> </v>
      </c>
      <c r="M426" s="35"/>
    </row>
    <row r="427" spans="1:14" ht="15" hidden="1" customHeight="1" x14ac:dyDescent="0.45">
      <c r="A427" s="67">
        <v>9</v>
      </c>
      <c r="B427" s="186" t="s">
        <v>97</v>
      </c>
      <c r="C427" s="28" t="s">
        <v>145</v>
      </c>
      <c r="D427" s="28" t="str">
        <f t="shared" si="143"/>
        <v/>
      </c>
      <c r="E427" s="256" t="str">
        <f t="shared" si="140"/>
        <v/>
      </c>
      <c r="F427" s="256" t="str">
        <f t="shared" si="144"/>
        <v/>
      </c>
      <c r="G427" s="159" t="str">
        <f t="shared" si="145"/>
        <v>rumus</v>
      </c>
      <c r="H427" s="39" t="s">
        <v>66</v>
      </c>
      <c r="I427" s="36"/>
      <c r="J427" s="36"/>
      <c r="K427" s="37" t="str">
        <f t="shared" si="141"/>
        <v>rumus</v>
      </c>
      <c r="L427" s="115" t="str">
        <f t="shared" si="142"/>
        <v xml:space="preserve"> </v>
      </c>
      <c r="M427" s="35"/>
    </row>
    <row r="428" spans="1:14" ht="15" hidden="1" customHeight="1" x14ac:dyDescent="0.45">
      <c r="A428" s="67">
        <v>10</v>
      </c>
      <c r="B428" s="186" t="s">
        <v>97</v>
      </c>
      <c r="C428" s="28" t="s">
        <v>145</v>
      </c>
      <c r="D428" s="28" t="str">
        <f t="shared" si="143"/>
        <v/>
      </c>
      <c r="E428" s="256" t="str">
        <f t="shared" si="140"/>
        <v/>
      </c>
      <c r="F428" s="256" t="str">
        <f t="shared" si="144"/>
        <v/>
      </c>
      <c r="G428" s="159" t="str">
        <f t="shared" si="145"/>
        <v>rumus</v>
      </c>
      <c r="H428" s="39" t="s">
        <v>66</v>
      </c>
      <c r="I428" s="36"/>
      <c r="J428" s="36"/>
      <c r="K428" s="37" t="str">
        <f t="shared" si="141"/>
        <v>rumus</v>
      </c>
      <c r="L428" s="115" t="str">
        <f t="shared" si="142"/>
        <v xml:space="preserve"> </v>
      </c>
      <c r="M428" s="35"/>
    </row>
    <row r="429" spans="1:14" hidden="1" x14ac:dyDescent="0.45">
      <c r="A429" s="67"/>
      <c r="B429" s="168" t="str">
        <f>"b. Semester Genap "&amp;IF(C430&lt;&gt;"",C430,"")&amp;" :"</f>
        <v>b. Semester Genap 2009/2010 :</v>
      </c>
      <c r="C429" s="57"/>
      <c r="D429" s="57"/>
      <c r="E429" s="57"/>
      <c r="F429" s="57"/>
      <c r="G429" s="57"/>
      <c r="H429" s="124"/>
      <c r="I429" s="35"/>
      <c r="M429" s="25">
        <f>IF(IF((COUNTIF(L419:L428,"Pembimbing Utama Laporan akhir studi"))&lt;=10,(SUMIF(L419:L428,"Pembimbing Utama Laporan akhir studi",K419:K428)),1*10)+IF((COUNTIF(L419:L428,"Pembimbing Pendamping Laporan akhir studi"))&lt;=10,(SUMIF(L419:L428,"Pembimbing Pendamping Laporan akhir studi",K419:K428)),0.5*10)+IF((COUNTIF(L419:L428,"Pembimbing Utama Skripsi"))&lt;=8,(SUMIF(L419:L428,"Pembimbing Utama Skripsi",K419:K428)),1*8)+IF((COUNTIF(L419:L428,"Pembimbing Pendamping Skripsi"))&lt;=8,(SUMIF(L419:L428,"Pembimbing Pendamping Skripsi",K419:K428)),1*8)+IF((COUNTIF(L419:L428,"Pembimbing Utama Tesis"))&lt;=6,(SUMIF(L419:L428,"Pembimbing Utama Tesis",K419:K428)),3*6)+IF((COUNTIF(L419:L428,"Pembimbing Pendamping Tesis"))&lt;=6,(SUMIF(L419:L428,"Pembimbing Pendamping Tesis",K419:K428)),2*6)+IF((COUNTIF(L419:L428,"Pembimbing Utama Disertasi"))&lt;=4,(SUMIF(L419:L428,"Pembimbing Utama Disertasi",K419:K428)),8*4)+IF((COUNTIF(L419:L428,"Pembimbing Pendamping Disertasi"))&lt;=4,(SUMIF(L419:L428,"Pembimbing Pendamping Disertasi",K419:K428)),6*4)&lt;=32,IF((COUNTIF(L419:L428,"Pembimbing Utama Laporan akhir studi"))&lt;=10,(SUMIF(L419:L428,"Pembimbing Utama Laporan akhir studi",K419:K428)),1*10)+IF((COUNTIF(L419:L428,"Pembimbing Pendamping Laporan akhir studi"))&lt;=10,(SUMIF(L419:L428,"Pembimbing Pendamping Laporan akhir studi",K419:K428)),0.5*10)+IF((COUNTIF(L419:L428,"Pembimbing Utama Skripsi"))&lt;=8,(SUMIF(L419:L428,"Pembimbing Utama Skripsi",K419:K428)),1*8)+IF((COUNTIF(L419:L428,"Pembimbing Pendamping Skripsi"))&lt;=8,(SUMIF(L419:L428,"Pembimbing Pendamping Skripsi",K419:K428)),1*8)+IF((COUNTIF(L419:L428,"Pembimbing Utama Tesis"))&lt;=6,(SUMIF(L419:L428,"Pembimbing Utama Tesis",K419:K428)),3*6)+IF((COUNTIF(L419:L428,"Pembimbing Pendamping Tesis"))&lt;=6,(SUMIF(L419:L428,"Pembimbing Pendamping Tesis",K419:K428)),2*6)+IF((COUNTIF(L419:L428,"Pembimbing Utama Disertasi"))&lt;=4,(SUMIF(L419:L428,"Pembimbing Utama Disertasi",K419:K428)),8*4)+IF((COUNTIF(L419:L428,"Pembimbing Pendamping Disertasi"))&lt;=4,(SUMIF(L419:L428,"Pembimbing Pendamping Disertasi",K419:K428)),6*4),32)</f>
        <v>0</v>
      </c>
      <c r="N429" s="33" t="str">
        <f>"Max 32"</f>
        <v>Max 32</v>
      </c>
    </row>
    <row r="430" spans="1:14" ht="15" hidden="1" customHeight="1" x14ac:dyDescent="0.45">
      <c r="A430" s="67">
        <v>1</v>
      </c>
      <c r="B430" s="186" t="s">
        <v>97</v>
      </c>
      <c r="C430" s="28" t="s">
        <v>146</v>
      </c>
      <c r="D430" s="28" t="str">
        <f>IF(G430&lt;&gt;"rumus","Lulusan","")</f>
        <v/>
      </c>
      <c r="E430" s="256" t="str">
        <f t="shared" ref="E430:E439" si="146">IF(I430&lt;&gt;"",1,"")</f>
        <v/>
      </c>
      <c r="F430" s="256" t="str">
        <f>IF(I430&lt;&gt;"",K430,"")</f>
        <v/>
      </c>
      <c r="G430" s="159" t="str">
        <f>IF(K430&lt;&gt;"rumus","1 x "&amp;K430&amp;" = "&amp;K430,"rumus")</f>
        <v>rumus</v>
      </c>
      <c r="H430" s="28" t="s">
        <v>620</v>
      </c>
      <c r="I430" s="36"/>
      <c r="J430" s="36"/>
      <c r="K430" s="37" t="str">
        <f t="shared" ref="K430:K439" si="147">IF(AND(I430&lt;&gt;"",J430&lt;&gt;""),IF(I430="Pembimbing Utama",IF(J430="Disertasi",8,IF(J430="Tesis",3,IF(J430="Skripsi",1,IF(J430="Laporan akhir studi",1,"")))),IF(I430="Pembimbing Pendamping",IF(J430="Disertasi",6,IF(J430="Tesis",2,IF(J430="Skripsi",0.5,IF(J430="Laporan akhir studi",0.5,"")))))),"rumus")</f>
        <v>rumus</v>
      </c>
      <c r="L430" s="115" t="str">
        <f t="shared" ref="L430:L439" si="148">I430&amp;" "&amp;J430</f>
        <v xml:space="preserve"> </v>
      </c>
      <c r="M430" s="35"/>
    </row>
    <row r="431" spans="1:14" ht="15" hidden="1" customHeight="1" x14ac:dyDescent="0.45">
      <c r="A431" s="67">
        <v>2</v>
      </c>
      <c r="B431" s="186" t="s">
        <v>97</v>
      </c>
      <c r="C431" s="28" t="s">
        <v>146</v>
      </c>
      <c r="D431" s="28" t="str">
        <f t="shared" ref="D431:D439" si="149">IF(G431&lt;&gt;"rumus","Lulusan","")</f>
        <v/>
      </c>
      <c r="E431" s="256" t="str">
        <f t="shared" si="146"/>
        <v/>
      </c>
      <c r="F431" s="256" t="str">
        <f t="shared" ref="F431:F439" si="150">IF(I431&lt;&gt;"",K431,"")</f>
        <v/>
      </c>
      <c r="G431" s="159" t="str">
        <f t="shared" ref="G431:G439" si="151">IF(K431&lt;&gt;"rumus","1 x "&amp;K431&amp;" = "&amp;K431,"rumus")</f>
        <v>rumus</v>
      </c>
      <c r="H431" s="39" t="s">
        <v>66</v>
      </c>
      <c r="I431" s="36"/>
      <c r="J431" s="36"/>
      <c r="K431" s="37" t="str">
        <f t="shared" si="147"/>
        <v>rumus</v>
      </c>
      <c r="L431" s="115" t="str">
        <f t="shared" si="148"/>
        <v xml:space="preserve"> </v>
      </c>
      <c r="M431" s="35"/>
    </row>
    <row r="432" spans="1:14" ht="15" hidden="1" customHeight="1" x14ac:dyDescent="0.45">
      <c r="A432" s="67">
        <v>3</v>
      </c>
      <c r="B432" s="186" t="s">
        <v>97</v>
      </c>
      <c r="C432" s="28" t="s">
        <v>146</v>
      </c>
      <c r="D432" s="28" t="str">
        <f t="shared" si="149"/>
        <v/>
      </c>
      <c r="E432" s="256" t="str">
        <f t="shared" si="146"/>
        <v/>
      </c>
      <c r="F432" s="256" t="str">
        <f t="shared" si="150"/>
        <v/>
      </c>
      <c r="G432" s="159" t="str">
        <f t="shared" si="151"/>
        <v>rumus</v>
      </c>
      <c r="H432" s="39" t="s">
        <v>66</v>
      </c>
      <c r="I432" s="36"/>
      <c r="J432" s="36"/>
      <c r="K432" s="37" t="str">
        <f t="shared" si="147"/>
        <v>rumus</v>
      </c>
      <c r="L432" s="115" t="str">
        <f t="shared" si="148"/>
        <v xml:space="preserve"> </v>
      </c>
      <c r="M432" s="35"/>
    </row>
    <row r="433" spans="1:14" ht="15" hidden="1" customHeight="1" x14ac:dyDescent="0.45">
      <c r="A433" s="67">
        <v>4</v>
      </c>
      <c r="B433" s="186" t="s">
        <v>97</v>
      </c>
      <c r="C433" s="28" t="s">
        <v>146</v>
      </c>
      <c r="D433" s="28" t="str">
        <f t="shared" si="149"/>
        <v/>
      </c>
      <c r="E433" s="256" t="str">
        <f t="shared" si="146"/>
        <v/>
      </c>
      <c r="F433" s="256" t="str">
        <f t="shared" si="150"/>
        <v/>
      </c>
      <c r="G433" s="159" t="str">
        <f t="shared" si="151"/>
        <v>rumus</v>
      </c>
      <c r="H433" s="39" t="s">
        <v>66</v>
      </c>
      <c r="I433" s="36"/>
      <c r="J433" s="36"/>
      <c r="K433" s="37" t="str">
        <f t="shared" si="147"/>
        <v>rumus</v>
      </c>
      <c r="L433" s="115" t="str">
        <f t="shared" si="148"/>
        <v xml:space="preserve"> </v>
      </c>
      <c r="M433" s="35"/>
    </row>
    <row r="434" spans="1:14" hidden="1" x14ac:dyDescent="0.45">
      <c r="A434" s="67">
        <v>5</v>
      </c>
      <c r="B434" s="186" t="s">
        <v>97</v>
      </c>
      <c r="C434" s="28" t="s">
        <v>146</v>
      </c>
      <c r="D434" s="28" t="str">
        <f t="shared" si="149"/>
        <v/>
      </c>
      <c r="E434" s="256" t="str">
        <f t="shared" si="146"/>
        <v/>
      </c>
      <c r="F434" s="256" t="str">
        <f t="shared" si="150"/>
        <v/>
      </c>
      <c r="G434" s="159" t="str">
        <f t="shared" si="151"/>
        <v>rumus</v>
      </c>
      <c r="H434" s="39" t="s">
        <v>66</v>
      </c>
      <c r="I434" s="36"/>
      <c r="J434" s="36"/>
      <c r="K434" s="37" t="str">
        <f t="shared" si="147"/>
        <v>rumus</v>
      </c>
      <c r="L434" s="115" t="str">
        <f t="shared" si="148"/>
        <v xml:space="preserve"> </v>
      </c>
      <c r="M434" s="35"/>
    </row>
    <row r="435" spans="1:14" ht="15" hidden="1" customHeight="1" x14ac:dyDescent="0.45">
      <c r="A435" s="67">
        <v>6</v>
      </c>
      <c r="B435" s="186" t="s">
        <v>97</v>
      </c>
      <c r="C435" s="28" t="s">
        <v>146</v>
      </c>
      <c r="D435" s="28" t="str">
        <f t="shared" si="149"/>
        <v/>
      </c>
      <c r="E435" s="256" t="str">
        <f t="shared" si="146"/>
        <v/>
      </c>
      <c r="F435" s="256" t="str">
        <f t="shared" si="150"/>
        <v/>
      </c>
      <c r="G435" s="159" t="str">
        <f t="shared" si="151"/>
        <v>rumus</v>
      </c>
      <c r="H435" s="39" t="s">
        <v>66</v>
      </c>
      <c r="I435" s="36"/>
      <c r="J435" s="36"/>
      <c r="K435" s="37" t="str">
        <f t="shared" si="147"/>
        <v>rumus</v>
      </c>
      <c r="L435" s="115" t="str">
        <f t="shared" si="148"/>
        <v xml:space="preserve"> </v>
      </c>
      <c r="M435" s="35"/>
    </row>
    <row r="436" spans="1:14" ht="15" hidden="1" customHeight="1" x14ac:dyDescent="0.45">
      <c r="A436" s="67">
        <v>7</v>
      </c>
      <c r="B436" s="186" t="s">
        <v>97</v>
      </c>
      <c r="C436" s="28" t="s">
        <v>146</v>
      </c>
      <c r="D436" s="28" t="str">
        <f t="shared" si="149"/>
        <v/>
      </c>
      <c r="E436" s="256" t="str">
        <f t="shared" si="146"/>
        <v/>
      </c>
      <c r="F436" s="256" t="str">
        <f t="shared" si="150"/>
        <v/>
      </c>
      <c r="G436" s="159" t="str">
        <f t="shared" si="151"/>
        <v>rumus</v>
      </c>
      <c r="H436" s="39" t="s">
        <v>66</v>
      </c>
      <c r="I436" s="36"/>
      <c r="J436" s="36"/>
      <c r="K436" s="37" t="str">
        <f t="shared" si="147"/>
        <v>rumus</v>
      </c>
      <c r="L436" s="115" t="str">
        <f t="shared" si="148"/>
        <v xml:space="preserve"> </v>
      </c>
      <c r="M436" s="35"/>
    </row>
    <row r="437" spans="1:14" ht="15" hidden="1" customHeight="1" x14ac:dyDescent="0.45">
      <c r="A437" s="67">
        <v>8</v>
      </c>
      <c r="B437" s="186" t="s">
        <v>97</v>
      </c>
      <c r="C437" s="28" t="s">
        <v>146</v>
      </c>
      <c r="D437" s="28" t="str">
        <f t="shared" si="149"/>
        <v/>
      </c>
      <c r="E437" s="256" t="str">
        <f t="shared" si="146"/>
        <v/>
      </c>
      <c r="F437" s="256" t="str">
        <f t="shared" si="150"/>
        <v/>
      </c>
      <c r="G437" s="159" t="str">
        <f t="shared" si="151"/>
        <v>rumus</v>
      </c>
      <c r="H437" s="39" t="s">
        <v>66</v>
      </c>
      <c r="I437" s="36"/>
      <c r="J437" s="36"/>
      <c r="K437" s="37" t="str">
        <f t="shared" si="147"/>
        <v>rumus</v>
      </c>
      <c r="L437" s="115" t="str">
        <f t="shared" si="148"/>
        <v xml:space="preserve"> </v>
      </c>
      <c r="M437" s="35"/>
    </row>
    <row r="438" spans="1:14" ht="15" hidden="1" customHeight="1" x14ac:dyDescent="0.45">
      <c r="A438" s="67">
        <v>9</v>
      </c>
      <c r="B438" s="186" t="s">
        <v>97</v>
      </c>
      <c r="C438" s="28" t="s">
        <v>146</v>
      </c>
      <c r="D438" s="28" t="str">
        <f t="shared" si="149"/>
        <v/>
      </c>
      <c r="E438" s="256" t="str">
        <f t="shared" si="146"/>
        <v/>
      </c>
      <c r="F438" s="256" t="str">
        <f t="shared" si="150"/>
        <v/>
      </c>
      <c r="G438" s="159" t="str">
        <f t="shared" si="151"/>
        <v>rumus</v>
      </c>
      <c r="H438" s="39" t="s">
        <v>66</v>
      </c>
      <c r="I438" s="36"/>
      <c r="J438" s="36"/>
      <c r="K438" s="37" t="str">
        <f t="shared" si="147"/>
        <v>rumus</v>
      </c>
      <c r="L438" s="115" t="str">
        <f t="shared" si="148"/>
        <v xml:space="preserve"> </v>
      </c>
      <c r="M438" s="35"/>
    </row>
    <row r="439" spans="1:14" ht="15" hidden="1" customHeight="1" x14ac:dyDescent="0.45">
      <c r="A439" s="67">
        <v>10</v>
      </c>
      <c r="B439" s="186" t="s">
        <v>97</v>
      </c>
      <c r="C439" s="28" t="s">
        <v>146</v>
      </c>
      <c r="D439" s="28" t="str">
        <f t="shared" si="149"/>
        <v/>
      </c>
      <c r="E439" s="256" t="str">
        <f t="shared" si="146"/>
        <v/>
      </c>
      <c r="F439" s="256" t="str">
        <f t="shared" si="150"/>
        <v/>
      </c>
      <c r="G439" s="159" t="str">
        <f t="shared" si="151"/>
        <v>rumus</v>
      </c>
      <c r="H439" s="39" t="s">
        <v>66</v>
      </c>
      <c r="I439" s="36"/>
      <c r="J439" s="36"/>
      <c r="K439" s="37" t="str">
        <f t="shared" si="147"/>
        <v>rumus</v>
      </c>
      <c r="L439" s="115" t="str">
        <f t="shared" si="148"/>
        <v xml:space="preserve"> </v>
      </c>
      <c r="M439" s="35"/>
    </row>
    <row r="440" spans="1:14" hidden="1" x14ac:dyDescent="0.45">
      <c r="A440" s="67"/>
      <c r="B440" s="168" t="str">
        <f>"b. Semester Genap "&amp;IF(C441&lt;&gt;"",C441,"")&amp;" :"</f>
        <v>b. Semester Genap 2010/2011 :</v>
      </c>
      <c r="C440" s="57"/>
      <c r="D440" s="57"/>
      <c r="E440" s="57"/>
      <c r="F440" s="57"/>
      <c r="G440" s="57"/>
      <c r="H440" s="124"/>
      <c r="I440" s="35"/>
      <c r="M440" s="25">
        <f>IF(IF((COUNTIF(L430:L439,"Pembimbing Utama Laporan akhir studi"))&lt;=10,(SUMIF(L430:L439,"Pembimbing Utama Laporan akhir studi",K430:K439)),1*10)+IF((COUNTIF(L430:L439,"Pembimbing Pendamping Laporan akhir studi"))&lt;=10,(SUMIF(L430:L439,"Pembimbing Pendamping Laporan akhir studi",K430:K439)),0.5*10)+IF((COUNTIF(L430:L439,"Pembimbing Utama Skripsi"))&lt;=8,(SUMIF(L430:L439,"Pembimbing Utama Skripsi",K430:K439)),1*8)+IF((COUNTIF(L430:L439,"Pembimbing Pendamping Skripsi"))&lt;=8,(SUMIF(L430:L439,"Pembimbing Pendamping Skripsi",K430:K439)),1*8)+IF((COUNTIF(L430:L439,"Pembimbing Utama Tesis"))&lt;=6,(SUMIF(L430:L439,"Pembimbing Utama Tesis",K430:K439)),3*6)+IF((COUNTIF(L430:L439,"Pembimbing Pendamping Tesis"))&lt;=6,(SUMIF(L430:L439,"Pembimbing Pendamping Tesis",K430:K439)),2*6)+IF((COUNTIF(L430:L439,"Pembimbing Utama Disertasi"))&lt;=4,(SUMIF(L430:L439,"Pembimbing Utama Disertasi",K430:K439)),8*4)+IF((COUNTIF(L430:L439,"Pembimbing Pendamping Disertasi"))&lt;=4,(SUMIF(L430:L439,"Pembimbing Pendamping Disertasi",K430:K439)),6*4)&lt;=32,IF((COUNTIF(L430:L439,"Pembimbing Utama Laporan akhir studi"))&lt;=10,(SUMIF(L430:L439,"Pembimbing Utama Laporan akhir studi",K430:K439)),1*10)+IF((COUNTIF(L430:L439,"Pembimbing Pendamping Laporan akhir studi"))&lt;=10,(SUMIF(L430:L439,"Pembimbing Pendamping Laporan akhir studi",K430:K439)),0.5*10)+IF((COUNTIF(L430:L439,"Pembimbing Utama Skripsi"))&lt;=8,(SUMIF(L430:L439,"Pembimbing Utama Skripsi",K430:K439)),1*8)+IF((COUNTIF(L430:L439,"Pembimbing Pendamping Skripsi"))&lt;=8,(SUMIF(L430:L439,"Pembimbing Pendamping Skripsi",K430:K439)),1*8)+IF((COUNTIF(L430:L439,"Pembimbing Utama Tesis"))&lt;=6,(SUMIF(L430:L439,"Pembimbing Utama Tesis",K430:K439)),3*6)+IF((COUNTIF(L430:L439,"Pembimbing Pendamping Tesis"))&lt;=6,(SUMIF(L430:L439,"Pembimbing Pendamping Tesis",K430:K439)),2*6)+IF((COUNTIF(L430:L439,"Pembimbing Utama Disertasi"))&lt;=4,(SUMIF(L430:L439,"Pembimbing Utama Disertasi",K430:K439)),8*4)+IF((COUNTIF(L430:L439,"Pembimbing Pendamping Disertasi"))&lt;=4,(SUMIF(L430:L439,"Pembimbing Pendamping Disertasi",K430:K439)),6*4),32)</f>
        <v>0</v>
      </c>
      <c r="N440" s="33" t="str">
        <f>"Max 32"</f>
        <v>Max 32</v>
      </c>
    </row>
    <row r="441" spans="1:14" ht="15" hidden="1" customHeight="1" x14ac:dyDescent="0.45">
      <c r="A441" s="67">
        <v>1</v>
      </c>
      <c r="B441" s="186" t="s">
        <v>97</v>
      </c>
      <c r="C441" s="28" t="s">
        <v>108</v>
      </c>
      <c r="D441" s="28" t="str">
        <f>IF(G441&lt;&gt;"rumus","Lulusan","")</f>
        <v/>
      </c>
      <c r="E441" s="256" t="str">
        <f t="shared" ref="E441:E450" si="152">IF(I441&lt;&gt;"",1,"")</f>
        <v/>
      </c>
      <c r="F441" s="256" t="str">
        <f>IF(I441&lt;&gt;"",K441,"")</f>
        <v/>
      </c>
      <c r="G441" s="159" t="str">
        <f>IF(K441&lt;&gt;"rumus","1 x "&amp;K441&amp;" = "&amp;K441,"rumus")</f>
        <v>rumus</v>
      </c>
      <c r="H441" s="28" t="s">
        <v>620</v>
      </c>
      <c r="I441" s="36"/>
      <c r="J441" s="36"/>
      <c r="K441" s="37" t="str">
        <f t="shared" ref="K441:K450" si="153">IF(AND(I441&lt;&gt;"",J441&lt;&gt;""),IF(I441="Pembimbing Utama",IF(J441="Disertasi",8,IF(J441="Tesis",3,IF(J441="Skripsi",1,IF(J441="Laporan akhir studi",1,"")))),IF(I441="Pembimbing Pendamping",IF(J441="Disertasi",6,IF(J441="Tesis",2,IF(J441="Skripsi",0.5,IF(J441="Laporan akhir studi",0.5,"")))))),"rumus")</f>
        <v>rumus</v>
      </c>
      <c r="L441" s="115" t="str">
        <f t="shared" ref="L441:L450" si="154">I441&amp;" "&amp;J441</f>
        <v xml:space="preserve"> </v>
      </c>
      <c r="M441" s="35"/>
    </row>
    <row r="442" spans="1:14" ht="15" hidden="1" customHeight="1" x14ac:dyDescent="0.45">
      <c r="A442" s="67">
        <v>2</v>
      </c>
      <c r="B442" s="186" t="s">
        <v>97</v>
      </c>
      <c r="C442" s="28" t="s">
        <v>108</v>
      </c>
      <c r="D442" s="28" t="str">
        <f t="shared" ref="D442:D450" si="155">IF(G442&lt;&gt;"rumus","Lulusan","")</f>
        <v/>
      </c>
      <c r="E442" s="256" t="str">
        <f t="shared" si="152"/>
        <v/>
      </c>
      <c r="F442" s="256" t="str">
        <f t="shared" ref="F442:F450" si="156">IF(I442&lt;&gt;"",K442,"")</f>
        <v/>
      </c>
      <c r="G442" s="159" t="str">
        <f t="shared" ref="G442:G450" si="157">IF(K442&lt;&gt;"rumus","1 x "&amp;K442&amp;" = "&amp;K442,"rumus")</f>
        <v>rumus</v>
      </c>
      <c r="H442" s="39" t="s">
        <v>66</v>
      </c>
      <c r="I442" s="36"/>
      <c r="J442" s="36"/>
      <c r="K442" s="37" t="str">
        <f t="shared" si="153"/>
        <v>rumus</v>
      </c>
      <c r="L442" s="115" t="str">
        <f t="shared" si="154"/>
        <v xml:space="preserve"> </v>
      </c>
      <c r="M442" s="35"/>
    </row>
    <row r="443" spans="1:14" ht="15" hidden="1" customHeight="1" x14ac:dyDescent="0.45">
      <c r="A443" s="67">
        <v>3</v>
      </c>
      <c r="B443" s="186" t="s">
        <v>97</v>
      </c>
      <c r="C443" s="28" t="s">
        <v>108</v>
      </c>
      <c r="D443" s="28" t="str">
        <f t="shared" si="155"/>
        <v/>
      </c>
      <c r="E443" s="256" t="str">
        <f t="shared" si="152"/>
        <v/>
      </c>
      <c r="F443" s="256" t="str">
        <f t="shared" si="156"/>
        <v/>
      </c>
      <c r="G443" s="159" t="str">
        <f t="shared" si="157"/>
        <v>rumus</v>
      </c>
      <c r="H443" s="39" t="s">
        <v>66</v>
      </c>
      <c r="I443" s="36"/>
      <c r="J443" s="36"/>
      <c r="K443" s="37" t="str">
        <f t="shared" si="153"/>
        <v>rumus</v>
      </c>
      <c r="L443" s="115" t="str">
        <f t="shared" si="154"/>
        <v xml:space="preserve"> </v>
      </c>
      <c r="M443" s="35"/>
    </row>
    <row r="444" spans="1:14" ht="15" hidden="1" customHeight="1" x14ac:dyDescent="0.45">
      <c r="A444" s="67">
        <v>4</v>
      </c>
      <c r="B444" s="186" t="s">
        <v>97</v>
      </c>
      <c r="C444" s="28" t="s">
        <v>108</v>
      </c>
      <c r="D444" s="28" t="str">
        <f t="shared" si="155"/>
        <v/>
      </c>
      <c r="E444" s="256" t="str">
        <f t="shared" si="152"/>
        <v/>
      </c>
      <c r="F444" s="256" t="str">
        <f t="shared" si="156"/>
        <v/>
      </c>
      <c r="G444" s="159" t="str">
        <f t="shared" si="157"/>
        <v>rumus</v>
      </c>
      <c r="H444" s="39" t="s">
        <v>66</v>
      </c>
      <c r="I444" s="36"/>
      <c r="J444" s="36"/>
      <c r="K444" s="37" t="str">
        <f t="shared" si="153"/>
        <v>rumus</v>
      </c>
      <c r="L444" s="115" t="str">
        <f t="shared" si="154"/>
        <v xml:space="preserve"> </v>
      </c>
      <c r="M444" s="35"/>
    </row>
    <row r="445" spans="1:14" ht="15" hidden="1" customHeight="1" x14ac:dyDescent="0.45">
      <c r="A445" s="67">
        <v>5</v>
      </c>
      <c r="B445" s="186" t="s">
        <v>97</v>
      </c>
      <c r="C445" s="28" t="s">
        <v>108</v>
      </c>
      <c r="D445" s="28" t="str">
        <f t="shared" si="155"/>
        <v/>
      </c>
      <c r="E445" s="256" t="str">
        <f t="shared" si="152"/>
        <v/>
      </c>
      <c r="F445" s="256" t="str">
        <f t="shared" si="156"/>
        <v/>
      </c>
      <c r="G445" s="159" t="str">
        <f t="shared" si="157"/>
        <v>rumus</v>
      </c>
      <c r="H445" s="39" t="s">
        <v>66</v>
      </c>
      <c r="I445" s="36"/>
      <c r="J445" s="36"/>
      <c r="K445" s="37" t="str">
        <f t="shared" si="153"/>
        <v>rumus</v>
      </c>
      <c r="L445" s="115" t="str">
        <f t="shared" si="154"/>
        <v xml:space="preserve"> </v>
      </c>
      <c r="M445" s="35"/>
    </row>
    <row r="446" spans="1:14" ht="15" hidden="1" customHeight="1" x14ac:dyDescent="0.45">
      <c r="A446" s="67">
        <v>6</v>
      </c>
      <c r="B446" s="186" t="s">
        <v>97</v>
      </c>
      <c r="C446" s="28" t="s">
        <v>108</v>
      </c>
      <c r="D446" s="28" t="str">
        <f t="shared" si="155"/>
        <v/>
      </c>
      <c r="E446" s="256" t="str">
        <f t="shared" si="152"/>
        <v/>
      </c>
      <c r="F446" s="256" t="str">
        <f t="shared" si="156"/>
        <v/>
      </c>
      <c r="G446" s="159" t="str">
        <f t="shared" si="157"/>
        <v>rumus</v>
      </c>
      <c r="H446" s="39" t="s">
        <v>66</v>
      </c>
      <c r="I446" s="36"/>
      <c r="J446" s="36"/>
      <c r="K446" s="37" t="str">
        <f t="shared" si="153"/>
        <v>rumus</v>
      </c>
      <c r="L446" s="115" t="str">
        <f t="shared" si="154"/>
        <v xml:space="preserve"> </v>
      </c>
      <c r="M446" s="35"/>
    </row>
    <row r="447" spans="1:14" ht="15" hidden="1" customHeight="1" x14ac:dyDescent="0.45">
      <c r="A447" s="67">
        <v>7</v>
      </c>
      <c r="B447" s="186" t="s">
        <v>97</v>
      </c>
      <c r="C447" s="28" t="s">
        <v>108</v>
      </c>
      <c r="D447" s="28" t="str">
        <f t="shared" si="155"/>
        <v/>
      </c>
      <c r="E447" s="256" t="str">
        <f t="shared" si="152"/>
        <v/>
      </c>
      <c r="F447" s="256" t="str">
        <f t="shared" si="156"/>
        <v/>
      </c>
      <c r="G447" s="159" t="str">
        <f t="shared" si="157"/>
        <v>rumus</v>
      </c>
      <c r="H447" s="39" t="s">
        <v>66</v>
      </c>
      <c r="I447" s="36"/>
      <c r="J447" s="36"/>
      <c r="K447" s="37" t="str">
        <f t="shared" si="153"/>
        <v>rumus</v>
      </c>
      <c r="L447" s="115" t="str">
        <f t="shared" si="154"/>
        <v xml:space="preserve"> </v>
      </c>
      <c r="M447" s="35"/>
    </row>
    <row r="448" spans="1:14" ht="15" hidden="1" customHeight="1" x14ac:dyDescent="0.45">
      <c r="A448" s="67">
        <v>8</v>
      </c>
      <c r="B448" s="186" t="s">
        <v>97</v>
      </c>
      <c r="C448" s="28" t="s">
        <v>108</v>
      </c>
      <c r="D448" s="28" t="str">
        <f t="shared" si="155"/>
        <v/>
      </c>
      <c r="E448" s="256" t="str">
        <f t="shared" si="152"/>
        <v/>
      </c>
      <c r="F448" s="256" t="str">
        <f t="shared" si="156"/>
        <v/>
      </c>
      <c r="G448" s="159" t="str">
        <f t="shared" si="157"/>
        <v>rumus</v>
      </c>
      <c r="H448" s="39" t="s">
        <v>66</v>
      </c>
      <c r="I448" s="36"/>
      <c r="J448" s="36"/>
      <c r="K448" s="37" t="str">
        <f t="shared" si="153"/>
        <v>rumus</v>
      </c>
      <c r="L448" s="115" t="str">
        <f t="shared" si="154"/>
        <v xml:space="preserve"> </v>
      </c>
      <c r="M448" s="35"/>
    </row>
    <row r="449" spans="1:14" ht="15" hidden="1" customHeight="1" x14ac:dyDescent="0.45">
      <c r="A449" s="67">
        <v>9</v>
      </c>
      <c r="B449" s="186" t="s">
        <v>97</v>
      </c>
      <c r="C449" s="28" t="s">
        <v>108</v>
      </c>
      <c r="D449" s="28" t="str">
        <f t="shared" si="155"/>
        <v/>
      </c>
      <c r="E449" s="256" t="str">
        <f t="shared" si="152"/>
        <v/>
      </c>
      <c r="F449" s="256" t="str">
        <f t="shared" si="156"/>
        <v/>
      </c>
      <c r="G449" s="159" t="str">
        <f t="shared" si="157"/>
        <v>rumus</v>
      </c>
      <c r="H449" s="39" t="s">
        <v>66</v>
      </c>
      <c r="I449" s="36"/>
      <c r="J449" s="36"/>
      <c r="K449" s="37" t="str">
        <f t="shared" si="153"/>
        <v>rumus</v>
      </c>
      <c r="L449" s="115" t="str">
        <f t="shared" si="154"/>
        <v xml:space="preserve"> </v>
      </c>
      <c r="M449" s="35"/>
    </row>
    <row r="450" spans="1:14" ht="15" hidden="1" customHeight="1" x14ac:dyDescent="0.45">
      <c r="A450" s="67">
        <v>10</v>
      </c>
      <c r="B450" s="186" t="s">
        <v>97</v>
      </c>
      <c r="C450" s="28" t="s">
        <v>108</v>
      </c>
      <c r="D450" s="28" t="str">
        <f t="shared" si="155"/>
        <v/>
      </c>
      <c r="E450" s="256" t="str">
        <f t="shared" si="152"/>
        <v/>
      </c>
      <c r="F450" s="256" t="str">
        <f t="shared" si="156"/>
        <v/>
      </c>
      <c r="G450" s="159" t="str">
        <f t="shared" si="157"/>
        <v>rumus</v>
      </c>
      <c r="H450" s="39" t="s">
        <v>66</v>
      </c>
      <c r="I450" s="36"/>
      <c r="J450" s="36"/>
      <c r="K450" s="37" t="str">
        <f t="shared" si="153"/>
        <v>rumus</v>
      </c>
      <c r="L450" s="115" t="str">
        <f t="shared" si="154"/>
        <v xml:space="preserve"> </v>
      </c>
      <c r="M450" s="35"/>
    </row>
    <row r="451" spans="1:14" hidden="1" x14ac:dyDescent="0.45">
      <c r="A451" s="67"/>
      <c r="B451" s="168" t="str">
        <f>"b. Semester Genap "&amp;IF(C452&lt;&gt;"",C452,"")&amp;" :"</f>
        <v>b. Semester Genap 2011/2012 :</v>
      </c>
      <c r="C451" s="57"/>
      <c r="D451" s="57"/>
      <c r="E451" s="57"/>
      <c r="F451" s="57"/>
      <c r="G451" s="57"/>
      <c r="H451" s="124"/>
      <c r="I451" s="35"/>
      <c r="M451" s="25">
        <f>IF(IF((COUNTIF(L441:L450,"Pembimbing Utama Laporan akhir studi"))&lt;=10,(SUMIF(L441:L450,"Pembimbing Utama Laporan akhir studi",K441:K450)),1*10)+IF((COUNTIF(L441:L450,"Pembimbing Pendamping Laporan akhir studi"))&lt;=10,(SUMIF(L441:L450,"Pembimbing Pendamping Laporan akhir studi",K441:K450)),0.5*10)+IF((COUNTIF(L441:L450,"Pembimbing Utama Skripsi"))&lt;=8,(SUMIF(L441:L450,"Pembimbing Utama Skripsi",K441:K450)),1*8)+IF((COUNTIF(L441:L450,"Pembimbing Pendamping Skripsi"))&lt;=8,(SUMIF(L441:L450,"Pembimbing Pendamping Skripsi",K441:K450)),1*8)+IF((COUNTIF(L441:L450,"Pembimbing Utama Tesis"))&lt;=6,(SUMIF(L441:L450,"Pembimbing Utama Tesis",K441:K450)),3*6)+IF((COUNTIF(L441:L450,"Pembimbing Pendamping Tesis"))&lt;=6,(SUMIF(L441:L450,"Pembimbing Pendamping Tesis",K441:K450)),2*6)+IF((COUNTIF(L441:L450,"Pembimbing Utama Disertasi"))&lt;=4,(SUMIF(L441:L450,"Pembimbing Utama Disertasi",K441:K450)),8*4)+IF((COUNTIF(L441:L450,"Pembimbing Pendamping Disertasi"))&lt;=4,(SUMIF(L441:L450,"Pembimbing Pendamping Disertasi",K441:K450)),6*4)&lt;=32,IF((COUNTIF(L441:L450,"Pembimbing Utama Laporan akhir studi"))&lt;=10,(SUMIF(L441:L450,"Pembimbing Utama Laporan akhir studi",K441:K450)),1*10)+IF((COUNTIF(L441:L450,"Pembimbing Pendamping Laporan akhir studi"))&lt;=10,(SUMIF(L441:L450,"Pembimbing Pendamping Laporan akhir studi",K441:K450)),0.5*10)+IF((COUNTIF(L441:L450,"Pembimbing Utama Skripsi"))&lt;=8,(SUMIF(L441:L450,"Pembimbing Utama Skripsi",K441:K450)),1*8)+IF((COUNTIF(L441:L450,"Pembimbing Pendamping Skripsi"))&lt;=8,(SUMIF(L441:L450,"Pembimbing Pendamping Skripsi",K441:K450)),1*8)+IF((COUNTIF(L441:L450,"Pembimbing Utama Tesis"))&lt;=6,(SUMIF(L441:L450,"Pembimbing Utama Tesis",K441:K450)),3*6)+IF((COUNTIF(L441:L450,"Pembimbing Pendamping Tesis"))&lt;=6,(SUMIF(L441:L450,"Pembimbing Pendamping Tesis",K441:K450)),2*6)+IF((COUNTIF(L441:L450,"Pembimbing Utama Disertasi"))&lt;=4,(SUMIF(L441:L450,"Pembimbing Utama Disertasi",K441:K450)),8*4)+IF((COUNTIF(L441:L450,"Pembimbing Pendamping Disertasi"))&lt;=4,(SUMIF(L441:L450,"Pembimbing Pendamping Disertasi",K441:K450)),6*4),32)</f>
        <v>0</v>
      </c>
      <c r="N451" s="33" t="str">
        <f>"Max 32"</f>
        <v>Max 32</v>
      </c>
    </row>
    <row r="452" spans="1:14" ht="15" hidden="1" customHeight="1" x14ac:dyDescent="0.45">
      <c r="A452" s="67">
        <v>1</v>
      </c>
      <c r="B452" s="186" t="s">
        <v>97</v>
      </c>
      <c r="C452" s="28" t="s">
        <v>112</v>
      </c>
      <c r="D452" s="28" t="str">
        <f>IF(G452&lt;&gt;"rumus","Lulusan","")</f>
        <v/>
      </c>
      <c r="E452" s="256" t="str">
        <f t="shared" ref="E452:E461" si="158">IF(I452&lt;&gt;"",1,"")</f>
        <v/>
      </c>
      <c r="F452" s="256" t="str">
        <f>IF(I452&lt;&gt;"",K452,"")</f>
        <v/>
      </c>
      <c r="G452" s="159" t="str">
        <f>IF(K452&lt;&gt;"rumus","1 x "&amp;K452&amp;" = "&amp;K452,"rumus")</f>
        <v>rumus</v>
      </c>
      <c r="H452" s="28" t="s">
        <v>620</v>
      </c>
      <c r="I452" s="36"/>
      <c r="J452" s="36"/>
      <c r="K452" s="37" t="str">
        <f t="shared" ref="K452:K461" si="159">IF(AND(I452&lt;&gt;"",J452&lt;&gt;""),IF(I452="Pembimbing Utama",IF(J452="Disertasi",8,IF(J452="Tesis",3,IF(J452="Skripsi",1,IF(J452="Laporan akhir studi",1,"")))),IF(I452="Pembimbing Pendamping",IF(J452="Disertasi",6,IF(J452="Tesis",2,IF(J452="Skripsi",0.5,IF(J452="Laporan akhir studi",0.5,"")))))),"rumus")</f>
        <v>rumus</v>
      </c>
      <c r="L452" s="115" t="str">
        <f t="shared" ref="L452:L461" si="160">I452&amp;" "&amp;J452</f>
        <v xml:space="preserve"> </v>
      </c>
      <c r="M452" s="35"/>
    </row>
    <row r="453" spans="1:14" ht="15" hidden="1" customHeight="1" x14ac:dyDescent="0.45">
      <c r="A453" s="67">
        <v>2</v>
      </c>
      <c r="B453" s="186" t="s">
        <v>97</v>
      </c>
      <c r="C453" s="28" t="s">
        <v>112</v>
      </c>
      <c r="D453" s="28" t="str">
        <f t="shared" ref="D453:D461" si="161">IF(G453&lt;&gt;"rumus","Lulusan","")</f>
        <v/>
      </c>
      <c r="E453" s="256" t="str">
        <f t="shared" si="158"/>
        <v/>
      </c>
      <c r="F453" s="256" t="str">
        <f t="shared" ref="F453:F461" si="162">IF(I453&lt;&gt;"",K453,"")</f>
        <v/>
      </c>
      <c r="G453" s="159" t="str">
        <f t="shared" ref="G453:G461" si="163">IF(K453&lt;&gt;"rumus","1 x "&amp;K453&amp;" = "&amp;K453,"rumus")</f>
        <v>rumus</v>
      </c>
      <c r="H453" s="39" t="s">
        <v>66</v>
      </c>
      <c r="I453" s="36"/>
      <c r="J453" s="36"/>
      <c r="K453" s="37" t="str">
        <f t="shared" si="159"/>
        <v>rumus</v>
      </c>
      <c r="L453" s="115" t="str">
        <f t="shared" si="160"/>
        <v xml:space="preserve"> </v>
      </c>
      <c r="M453" s="35"/>
    </row>
    <row r="454" spans="1:14" ht="15" hidden="1" customHeight="1" x14ac:dyDescent="0.45">
      <c r="A454" s="67">
        <v>3</v>
      </c>
      <c r="B454" s="186" t="s">
        <v>97</v>
      </c>
      <c r="C454" s="28" t="s">
        <v>112</v>
      </c>
      <c r="D454" s="28" t="str">
        <f t="shared" si="161"/>
        <v/>
      </c>
      <c r="E454" s="256" t="str">
        <f t="shared" si="158"/>
        <v/>
      </c>
      <c r="F454" s="256" t="str">
        <f t="shared" si="162"/>
        <v/>
      </c>
      <c r="G454" s="159" t="str">
        <f t="shared" si="163"/>
        <v>rumus</v>
      </c>
      <c r="H454" s="39" t="s">
        <v>66</v>
      </c>
      <c r="I454" s="36"/>
      <c r="J454" s="36"/>
      <c r="K454" s="37" t="str">
        <f t="shared" si="159"/>
        <v>rumus</v>
      </c>
      <c r="L454" s="115" t="str">
        <f t="shared" si="160"/>
        <v xml:space="preserve"> </v>
      </c>
      <c r="M454" s="35"/>
    </row>
    <row r="455" spans="1:14" ht="15" hidden="1" customHeight="1" x14ac:dyDescent="0.45">
      <c r="A455" s="67">
        <v>4</v>
      </c>
      <c r="B455" s="186" t="s">
        <v>97</v>
      </c>
      <c r="C455" s="28" t="s">
        <v>112</v>
      </c>
      <c r="D455" s="28" t="str">
        <f t="shared" si="161"/>
        <v/>
      </c>
      <c r="E455" s="256" t="str">
        <f t="shared" si="158"/>
        <v/>
      </c>
      <c r="F455" s="256" t="str">
        <f t="shared" si="162"/>
        <v/>
      </c>
      <c r="G455" s="159" t="str">
        <f t="shared" si="163"/>
        <v>rumus</v>
      </c>
      <c r="H455" s="39" t="s">
        <v>66</v>
      </c>
      <c r="I455" s="36"/>
      <c r="J455" s="36"/>
      <c r="K455" s="37" t="str">
        <f t="shared" si="159"/>
        <v>rumus</v>
      </c>
      <c r="L455" s="115" t="str">
        <f t="shared" si="160"/>
        <v xml:space="preserve"> </v>
      </c>
      <c r="M455" s="35"/>
    </row>
    <row r="456" spans="1:14" ht="15" hidden="1" customHeight="1" x14ac:dyDescent="0.45">
      <c r="A456" s="67">
        <v>5</v>
      </c>
      <c r="B456" s="186" t="s">
        <v>97</v>
      </c>
      <c r="C456" s="28" t="s">
        <v>112</v>
      </c>
      <c r="D456" s="28" t="str">
        <f t="shared" si="161"/>
        <v/>
      </c>
      <c r="E456" s="256" t="str">
        <f t="shared" si="158"/>
        <v/>
      </c>
      <c r="F456" s="256" t="str">
        <f t="shared" si="162"/>
        <v/>
      </c>
      <c r="G456" s="159" t="str">
        <f t="shared" si="163"/>
        <v>rumus</v>
      </c>
      <c r="H456" s="39" t="s">
        <v>66</v>
      </c>
      <c r="I456" s="36"/>
      <c r="J456" s="36"/>
      <c r="K456" s="37" t="str">
        <f t="shared" si="159"/>
        <v>rumus</v>
      </c>
      <c r="L456" s="115" t="str">
        <f t="shared" si="160"/>
        <v xml:space="preserve"> </v>
      </c>
      <c r="M456" s="35"/>
    </row>
    <row r="457" spans="1:14" ht="15" hidden="1" customHeight="1" x14ac:dyDescent="0.45">
      <c r="A457" s="67">
        <v>6</v>
      </c>
      <c r="B457" s="186" t="s">
        <v>97</v>
      </c>
      <c r="C457" s="28" t="s">
        <v>112</v>
      </c>
      <c r="D457" s="28" t="str">
        <f t="shared" si="161"/>
        <v/>
      </c>
      <c r="E457" s="256" t="str">
        <f t="shared" si="158"/>
        <v/>
      </c>
      <c r="F457" s="256" t="str">
        <f t="shared" si="162"/>
        <v/>
      </c>
      <c r="G457" s="159" t="str">
        <f t="shared" si="163"/>
        <v>rumus</v>
      </c>
      <c r="H457" s="39" t="s">
        <v>66</v>
      </c>
      <c r="I457" s="36"/>
      <c r="J457" s="36"/>
      <c r="K457" s="37" t="str">
        <f t="shared" si="159"/>
        <v>rumus</v>
      </c>
      <c r="L457" s="115" t="str">
        <f t="shared" si="160"/>
        <v xml:space="preserve"> </v>
      </c>
      <c r="M457" s="35"/>
    </row>
    <row r="458" spans="1:14" ht="15" hidden="1" customHeight="1" x14ac:dyDescent="0.45">
      <c r="A458" s="67">
        <v>7</v>
      </c>
      <c r="B458" s="186" t="s">
        <v>97</v>
      </c>
      <c r="C458" s="28" t="s">
        <v>112</v>
      </c>
      <c r="D458" s="28" t="str">
        <f t="shared" si="161"/>
        <v/>
      </c>
      <c r="E458" s="256" t="str">
        <f t="shared" si="158"/>
        <v/>
      </c>
      <c r="F458" s="256" t="str">
        <f t="shared" si="162"/>
        <v/>
      </c>
      <c r="G458" s="159" t="str">
        <f t="shared" si="163"/>
        <v>rumus</v>
      </c>
      <c r="H458" s="39" t="s">
        <v>66</v>
      </c>
      <c r="I458" s="36"/>
      <c r="J458" s="36"/>
      <c r="K458" s="37" t="str">
        <f t="shared" si="159"/>
        <v>rumus</v>
      </c>
      <c r="L458" s="115" t="str">
        <f t="shared" si="160"/>
        <v xml:space="preserve"> </v>
      </c>
      <c r="M458" s="35"/>
    </row>
    <row r="459" spans="1:14" ht="15" hidden="1" customHeight="1" x14ac:dyDescent="0.45">
      <c r="A459" s="67">
        <v>8</v>
      </c>
      <c r="B459" s="186" t="s">
        <v>97</v>
      </c>
      <c r="C459" s="28" t="s">
        <v>112</v>
      </c>
      <c r="D459" s="28" t="str">
        <f t="shared" si="161"/>
        <v/>
      </c>
      <c r="E459" s="256" t="str">
        <f t="shared" si="158"/>
        <v/>
      </c>
      <c r="F459" s="256" t="str">
        <f t="shared" si="162"/>
        <v/>
      </c>
      <c r="G459" s="159" t="str">
        <f t="shared" si="163"/>
        <v>rumus</v>
      </c>
      <c r="H459" s="39" t="s">
        <v>66</v>
      </c>
      <c r="I459" s="36"/>
      <c r="J459" s="36"/>
      <c r="K459" s="37" t="str">
        <f t="shared" si="159"/>
        <v>rumus</v>
      </c>
      <c r="L459" s="115" t="str">
        <f t="shared" si="160"/>
        <v xml:space="preserve"> </v>
      </c>
      <c r="M459" s="35"/>
    </row>
    <row r="460" spans="1:14" ht="15" hidden="1" customHeight="1" x14ac:dyDescent="0.45">
      <c r="A460" s="67">
        <v>9</v>
      </c>
      <c r="B460" s="186" t="s">
        <v>97</v>
      </c>
      <c r="C460" s="28" t="s">
        <v>112</v>
      </c>
      <c r="D460" s="28" t="str">
        <f t="shared" si="161"/>
        <v/>
      </c>
      <c r="E460" s="256" t="str">
        <f t="shared" si="158"/>
        <v/>
      </c>
      <c r="F460" s="256" t="str">
        <f t="shared" si="162"/>
        <v/>
      </c>
      <c r="G460" s="159" t="str">
        <f t="shared" si="163"/>
        <v>rumus</v>
      </c>
      <c r="H460" s="39" t="s">
        <v>66</v>
      </c>
      <c r="I460" s="36"/>
      <c r="J460" s="36"/>
      <c r="K460" s="37" t="str">
        <f t="shared" si="159"/>
        <v>rumus</v>
      </c>
      <c r="L460" s="115" t="str">
        <f t="shared" si="160"/>
        <v xml:space="preserve"> </v>
      </c>
      <c r="M460" s="35"/>
    </row>
    <row r="461" spans="1:14" ht="15" hidden="1" customHeight="1" x14ac:dyDescent="0.45">
      <c r="A461" s="67">
        <v>10</v>
      </c>
      <c r="B461" s="186" t="s">
        <v>97</v>
      </c>
      <c r="C461" s="28" t="s">
        <v>112</v>
      </c>
      <c r="D461" s="28" t="str">
        <f t="shared" si="161"/>
        <v/>
      </c>
      <c r="E461" s="256" t="str">
        <f t="shared" si="158"/>
        <v/>
      </c>
      <c r="F461" s="256" t="str">
        <f t="shared" si="162"/>
        <v/>
      </c>
      <c r="G461" s="159" t="str">
        <f t="shared" si="163"/>
        <v>rumus</v>
      </c>
      <c r="H461" s="39" t="s">
        <v>66</v>
      </c>
      <c r="I461" s="36"/>
      <c r="J461" s="36"/>
      <c r="K461" s="37" t="str">
        <f t="shared" si="159"/>
        <v>rumus</v>
      </c>
      <c r="L461" s="115" t="str">
        <f t="shared" si="160"/>
        <v xml:space="preserve"> </v>
      </c>
      <c r="M461" s="35"/>
    </row>
    <row r="462" spans="1:14" hidden="1" x14ac:dyDescent="0.45">
      <c r="A462" s="67"/>
      <c r="B462" s="168" t="str">
        <f>"b. Semester Genap "&amp;IF(C463&lt;&gt;"",C463,"")&amp;" :"</f>
        <v>b. Semester Genap 2012/2013 :</v>
      </c>
      <c r="C462" s="57"/>
      <c r="D462" s="57"/>
      <c r="E462" s="57"/>
      <c r="F462" s="57"/>
      <c r="G462" s="57"/>
      <c r="H462" s="124"/>
      <c r="I462" s="35"/>
      <c r="M462" s="25">
        <f>IF(IF((COUNTIF(L452:L461,"Pembimbing Utama Laporan akhir studi"))&lt;=10,(SUMIF(L452:L461,"Pembimbing Utama Laporan akhir studi",K452:K461)),1*10)+IF((COUNTIF(L452:L461,"Pembimbing Pendamping Laporan akhir studi"))&lt;=10,(SUMIF(L452:L461,"Pembimbing Pendamping Laporan akhir studi",K452:K461)),0.5*10)+IF((COUNTIF(L452:L461,"Pembimbing Utama Skripsi"))&lt;=8,(SUMIF(L452:L461,"Pembimbing Utama Skripsi",K452:K461)),1*8)+IF((COUNTIF(L452:L461,"Pembimbing Pendamping Skripsi"))&lt;=8,(SUMIF(L452:L461,"Pembimbing Pendamping Skripsi",K452:K461)),1*8)+IF((COUNTIF(L452:L461,"Pembimbing Utama Tesis"))&lt;=6,(SUMIF(L452:L461,"Pembimbing Utama Tesis",K452:K461)),3*6)+IF((COUNTIF(L452:L461,"Pembimbing Pendamping Tesis"))&lt;=6,(SUMIF(L452:L461,"Pembimbing Pendamping Tesis",K452:K461)),2*6)+IF((COUNTIF(L452:L461,"Pembimbing Utama Disertasi"))&lt;=4,(SUMIF(L452:L461,"Pembimbing Utama Disertasi",K452:K461)),8*4)+IF((COUNTIF(L452:L461,"Pembimbing Pendamping Disertasi"))&lt;=4,(SUMIF(L452:L461,"Pembimbing Pendamping Disertasi",K452:K461)),6*4)&lt;=32,IF((COUNTIF(L452:L461,"Pembimbing Utama Laporan akhir studi"))&lt;=10,(SUMIF(L452:L461,"Pembimbing Utama Laporan akhir studi",K452:K461)),1*10)+IF((COUNTIF(L452:L461,"Pembimbing Pendamping Laporan akhir studi"))&lt;=10,(SUMIF(L452:L461,"Pembimbing Pendamping Laporan akhir studi",K452:K461)),0.5*10)+IF((COUNTIF(L452:L461,"Pembimbing Utama Skripsi"))&lt;=8,(SUMIF(L452:L461,"Pembimbing Utama Skripsi",K452:K461)),1*8)+IF((COUNTIF(L452:L461,"Pembimbing Pendamping Skripsi"))&lt;=8,(SUMIF(L452:L461,"Pembimbing Pendamping Skripsi",K452:K461)),1*8)+IF((COUNTIF(L452:L461,"Pembimbing Utama Tesis"))&lt;=6,(SUMIF(L452:L461,"Pembimbing Utama Tesis",K452:K461)),3*6)+IF((COUNTIF(L452:L461,"Pembimbing Pendamping Tesis"))&lt;=6,(SUMIF(L452:L461,"Pembimbing Pendamping Tesis",K452:K461)),2*6)+IF((COUNTIF(L452:L461,"Pembimbing Utama Disertasi"))&lt;=4,(SUMIF(L452:L461,"Pembimbing Utama Disertasi",K452:K461)),8*4)+IF((COUNTIF(L452:L461,"Pembimbing Pendamping Disertasi"))&lt;=4,(SUMIF(L452:L461,"Pembimbing Pendamping Disertasi",K452:K461)),6*4),32)</f>
        <v>0</v>
      </c>
      <c r="N462" s="33" t="str">
        <f>"Max 32"</f>
        <v>Max 32</v>
      </c>
    </row>
    <row r="463" spans="1:14" ht="15" hidden="1" customHeight="1" x14ac:dyDescent="0.45">
      <c r="A463" s="67">
        <v>1</v>
      </c>
      <c r="B463" s="186" t="s">
        <v>97</v>
      </c>
      <c r="C463" s="28" t="s">
        <v>113</v>
      </c>
      <c r="D463" s="28" t="str">
        <f>IF(G463&lt;&gt;"rumus","Lulusan","")</f>
        <v/>
      </c>
      <c r="E463" s="256" t="str">
        <f t="shared" ref="E463:E472" si="164">IF(I463&lt;&gt;"",1,"")</f>
        <v/>
      </c>
      <c r="F463" s="256" t="str">
        <f>IF(I463&lt;&gt;"",K463,"")</f>
        <v/>
      </c>
      <c r="G463" s="159" t="str">
        <f>IF(K463&lt;&gt;"rumus","1 x "&amp;K463&amp;" = "&amp;K463,"rumus")</f>
        <v>rumus</v>
      </c>
      <c r="H463" s="28" t="s">
        <v>620</v>
      </c>
      <c r="I463" s="36"/>
      <c r="J463" s="36"/>
      <c r="K463" s="37" t="str">
        <f t="shared" ref="K463:K472" si="165">IF(AND(I463&lt;&gt;"",J463&lt;&gt;""),IF(I463="Pembimbing Utama",IF(J463="Disertasi",8,IF(J463="Tesis",3,IF(J463="Skripsi",1,IF(J463="Laporan akhir studi",1,"")))),IF(I463="Pembimbing Pendamping",IF(J463="Disertasi",6,IF(J463="Tesis",2,IF(J463="Skripsi",0.5,IF(J463="Laporan akhir studi",0.5,"")))))),"rumus")</f>
        <v>rumus</v>
      </c>
      <c r="L463" s="115" t="str">
        <f t="shared" ref="L463:L472" si="166">I463&amp;" "&amp;J463</f>
        <v xml:space="preserve"> </v>
      </c>
      <c r="M463" s="35"/>
    </row>
    <row r="464" spans="1:14" ht="15" hidden="1" customHeight="1" x14ac:dyDescent="0.45">
      <c r="A464" s="67">
        <v>2</v>
      </c>
      <c r="B464" s="186" t="s">
        <v>97</v>
      </c>
      <c r="C464" s="28" t="s">
        <v>113</v>
      </c>
      <c r="D464" s="28" t="str">
        <f t="shared" ref="D464:D472" si="167">IF(G464&lt;&gt;"rumus","Lulusan","")</f>
        <v/>
      </c>
      <c r="E464" s="256" t="str">
        <f t="shared" si="164"/>
        <v/>
      </c>
      <c r="F464" s="256" t="str">
        <f t="shared" ref="F464:F472" si="168">IF(I464&lt;&gt;"",K464,"")</f>
        <v/>
      </c>
      <c r="G464" s="159" t="str">
        <f t="shared" ref="G464:G472" si="169">IF(K464&lt;&gt;"rumus","1 x "&amp;K464&amp;" = "&amp;K464,"rumus")</f>
        <v>rumus</v>
      </c>
      <c r="H464" s="39" t="s">
        <v>66</v>
      </c>
      <c r="I464" s="36"/>
      <c r="J464" s="36"/>
      <c r="K464" s="37" t="str">
        <f t="shared" si="165"/>
        <v>rumus</v>
      </c>
      <c r="L464" s="115" t="str">
        <f t="shared" si="166"/>
        <v xml:space="preserve"> </v>
      </c>
      <c r="M464" s="35"/>
    </row>
    <row r="465" spans="1:14" ht="15" hidden="1" customHeight="1" x14ac:dyDescent="0.45">
      <c r="A465" s="67">
        <v>3</v>
      </c>
      <c r="B465" s="186" t="s">
        <v>97</v>
      </c>
      <c r="C465" s="28" t="s">
        <v>113</v>
      </c>
      <c r="D465" s="28" t="str">
        <f t="shared" si="167"/>
        <v/>
      </c>
      <c r="E465" s="256" t="str">
        <f t="shared" si="164"/>
        <v/>
      </c>
      <c r="F465" s="256" t="str">
        <f t="shared" si="168"/>
        <v/>
      </c>
      <c r="G465" s="159" t="str">
        <f t="shared" si="169"/>
        <v>rumus</v>
      </c>
      <c r="H465" s="39" t="s">
        <v>66</v>
      </c>
      <c r="I465" s="36"/>
      <c r="J465" s="36"/>
      <c r="K465" s="37" t="str">
        <f t="shared" si="165"/>
        <v>rumus</v>
      </c>
      <c r="L465" s="115" t="str">
        <f t="shared" si="166"/>
        <v xml:space="preserve"> </v>
      </c>
      <c r="M465" s="35"/>
    </row>
    <row r="466" spans="1:14" ht="15" hidden="1" customHeight="1" x14ac:dyDescent="0.45">
      <c r="A466" s="67">
        <v>4</v>
      </c>
      <c r="B466" s="186" t="s">
        <v>97</v>
      </c>
      <c r="C466" s="28" t="s">
        <v>113</v>
      </c>
      <c r="D466" s="28" t="str">
        <f t="shared" si="167"/>
        <v/>
      </c>
      <c r="E466" s="256" t="str">
        <f t="shared" si="164"/>
        <v/>
      </c>
      <c r="F466" s="256" t="str">
        <f t="shared" si="168"/>
        <v/>
      </c>
      <c r="G466" s="159" t="str">
        <f t="shared" si="169"/>
        <v>rumus</v>
      </c>
      <c r="H466" s="39" t="s">
        <v>66</v>
      </c>
      <c r="I466" s="36"/>
      <c r="J466" s="36"/>
      <c r="K466" s="37" t="str">
        <f t="shared" si="165"/>
        <v>rumus</v>
      </c>
      <c r="L466" s="115" t="str">
        <f t="shared" si="166"/>
        <v xml:space="preserve"> </v>
      </c>
      <c r="M466" s="35"/>
    </row>
    <row r="467" spans="1:14" ht="15" hidden="1" customHeight="1" x14ac:dyDescent="0.45">
      <c r="A467" s="67">
        <v>5</v>
      </c>
      <c r="B467" s="186" t="s">
        <v>97</v>
      </c>
      <c r="C467" s="28" t="s">
        <v>113</v>
      </c>
      <c r="D467" s="28" t="str">
        <f t="shared" si="167"/>
        <v/>
      </c>
      <c r="E467" s="256" t="str">
        <f t="shared" si="164"/>
        <v/>
      </c>
      <c r="F467" s="256" t="str">
        <f t="shared" si="168"/>
        <v/>
      </c>
      <c r="G467" s="159" t="str">
        <f t="shared" si="169"/>
        <v>rumus</v>
      </c>
      <c r="H467" s="39" t="s">
        <v>66</v>
      </c>
      <c r="I467" s="36"/>
      <c r="J467" s="36"/>
      <c r="K467" s="37" t="str">
        <f t="shared" si="165"/>
        <v>rumus</v>
      </c>
      <c r="L467" s="115" t="str">
        <f t="shared" si="166"/>
        <v xml:space="preserve"> </v>
      </c>
      <c r="M467" s="35"/>
    </row>
    <row r="468" spans="1:14" ht="15" hidden="1" customHeight="1" x14ac:dyDescent="0.45">
      <c r="A468" s="67">
        <v>6</v>
      </c>
      <c r="B468" s="186" t="s">
        <v>97</v>
      </c>
      <c r="C468" s="28" t="s">
        <v>113</v>
      </c>
      <c r="D468" s="28" t="str">
        <f t="shared" si="167"/>
        <v/>
      </c>
      <c r="E468" s="256" t="str">
        <f t="shared" si="164"/>
        <v/>
      </c>
      <c r="F468" s="256" t="str">
        <f t="shared" si="168"/>
        <v/>
      </c>
      <c r="G468" s="159" t="str">
        <f t="shared" si="169"/>
        <v>rumus</v>
      </c>
      <c r="H468" s="39" t="s">
        <v>66</v>
      </c>
      <c r="I468" s="36"/>
      <c r="J468" s="36"/>
      <c r="K468" s="37" t="str">
        <f t="shared" si="165"/>
        <v>rumus</v>
      </c>
      <c r="L468" s="115" t="str">
        <f t="shared" si="166"/>
        <v xml:space="preserve"> </v>
      </c>
      <c r="M468" s="35"/>
    </row>
    <row r="469" spans="1:14" ht="15" hidden="1" customHeight="1" x14ac:dyDescent="0.45">
      <c r="A469" s="67">
        <v>7</v>
      </c>
      <c r="B469" s="186" t="s">
        <v>97</v>
      </c>
      <c r="C469" s="28" t="s">
        <v>113</v>
      </c>
      <c r="D469" s="28" t="str">
        <f t="shared" si="167"/>
        <v/>
      </c>
      <c r="E469" s="256" t="str">
        <f t="shared" si="164"/>
        <v/>
      </c>
      <c r="F469" s="256" t="str">
        <f t="shared" si="168"/>
        <v/>
      </c>
      <c r="G469" s="159" t="str">
        <f t="shared" si="169"/>
        <v>rumus</v>
      </c>
      <c r="H469" s="39" t="s">
        <v>66</v>
      </c>
      <c r="I469" s="36"/>
      <c r="J469" s="36"/>
      <c r="K469" s="37" t="str">
        <f t="shared" si="165"/>
        <v>rumus</v>
      </c>
      <c r="L469" s="115" t="str">
        <f t="shared" si="166"/>
        <v xml:space="preserve"> </v>
      </c>
      <c r="M469" s="35"/>
    </row>
    <row r="470" spans="1:14" ht="15" hidden="1" customHeight="1" x14ac:dyDescent="0.45">
      <c r="A470" s="67">
        <v>8</v>
      </c>
      <c r="B470" s="186" t="s">
        <v>97</v>
      </c>
      <c r="C470" s="28" t="s">
        <v>113</v>
      </c>
      <c r="D470" s="28" t="str">
        <f t="shared" si="167"/>
        <v/>
      </c>
      <c r="E470" s="256" t="str">
        <f t="shared" si="164"/>
        <v/>
      </c>
      <c r="F470" s="256" t="str">
        <f t="shared" si="168"/>
        <v/>
      </c>
      <c r="G470" s="159" t="str">
        <f t="shared" si="169"/>
        <v>rumus</v>
      </c>
      <c r="H470" s="39" t="s">
        <v>66</v>
      </c>
      <c r="I470" s="36"/>
      <c r="J470" s="36"/>
      <c r="K470" s="37" t="str">
        <f t="shared" si="165"/>
        <v>rumus</v>
      </c>
      <c r="L470" s="115" t="str">
        <f t="shared" si="166"/>
        <v xml:space="preserve"> </v>
      </c>
      <c r="M470" s="35"/>
    </row>
    <row r="471" spans="1:14" ht="15" hidden="1" customHeight="1" x14ac:dyDescent="0.45">
      <c r="A471" s="67">
        <v>9</v>
      </c>
      <c r="B471" s="186" t="s">
        <v>97</v>
      </c>
      <c r="C471" s="28" t="s">
        <v>113</v>
      </c>
      <c r="D471" s="28" t="str">
        <f t="shared" si="167"/>
        <v/>
      </c>
      <c r="E471" s="256" t="str">
        <f t="shared" si="164"/>
        <v/>
      </c>
      <c r="F471" s="256" t="str">
        <f t="shared" si="168"/>
        <v/>
      </c>
      <c r="G471" s="159" t="str">
        <f t="shared" si="169"/>
        <v>rumus</v>
      </c>
      <c r="H471" s="39" t="s">
        <v>66</v>
      </c>
      <c r="I471" s="36"/>
      <c r="J471" s="36"/>
      <c r="K471" s="37" t="str">
        <f t="shared" si="165"/>
        <v>rumus</v>
      </c>
      <c r="L471" s="115" t="str">
        <f t="shared" si="166"/>
        <v xml:space="preserve"> </v>
      </c>
      <c r="M471" s="35"/>
    </row>
    <row r="472" spans="1:14" ht="15" hidden="1" customHeight="1" x14ac:dyDescent="0.45">
      <c r="A472" s="67">
        <v>10</v>
      </c>
      <c r="B472" s="186" t="s">
        <v>97</v>
      </c>
      <c r="C472" s="28" t="s">
        <v>113</v>
      </c>
      <c r="D472" s="28" t="str">
        <f t="shared" si="167"/>
        <v/>
      </c>
      <c r="E472" s="256" t="str">
        <f t="shared" si="164"/>
        <v/>
      </c>
      <c r="F472" s="256" t="str">
        <f t="shared" si="168"/>
        <v/>
      </c>
      <c r="G472" s="159" t="str">
        <f t="shared" si="169"/>
        <v>rumus</v>
      </c>
      <c r="H472" s="39" t="s">
        <v>66</v>
      </c>
      <c r="I472" s="36"/>
      <c r="J472" s="36"/>
      <c r="K472" s="37" t="str">
        <f t="shared" si="165"/>
        <v>rumus</v>
      </c>
      <c r="L472" s="115" t="str">
        <f t="shared" si="166"/>
        <v xml:space="preserve"> </v>
      </c>
      <c r="M472" s="35"/>
    </row>
    <row r="473" spans="1:14" hidden="1" x14ac:dyDescent="0.45">
      <c r="A473" s="67"/>
      <c r="B473" s="168" t="str">
        <f>"b. Semester Genap "&amp;IF(C474&lt;&gt;"",C474,"")&amp;" :"</f>
        <v>b. Semester Genap 2013/2014 :</v>
      </c>
      <c r="C473" s="57"/>
      <c r="D473" s="57"/>
      <c r="E473" s="57"/>
      <c r="F473" s="57"/>
      <c r="G473" s="30"/>
      <c r="H473" s="54"/>
      <c r="I473" s="35"/>
      <c r="M473" s="25">
        <f>IF(IF((COUNTIF(L463:L472,"Pembimbing Utama Laporan akhir studi"))&lt;=10,(SUMIF(L463:L472,"Pembimbing Utama Laporan akhir studi",K463:K472)),1*10)+IF((COUNTIF(L463:L472,"Pembimbing Pendamping Laporan akhir studi"))&lt;=10,(SUMIF(L463:L472,"Pembimbing Pendamping Laporan akhir studi",K463:K472)),0.5*10)+IF((COUNTIF(L463:L472,"Pembimbing Utama Skripsi"))&lt;=8,(SUMIF(L463:L472,"Pembimbing Utama Skripsi",K463:K472)),1*8)+IF((COUNTIF(L463:L472,"Pembimbing Pendamping Skripsi"))&lt;=8,(SUMIF(L463:L472,"Pembimbing Pendamping Skripsi",K463:K472)),1*8)+IF((COUNTIF(L463:L472,"Pembimbing Utama Tesis"))&lt;=6,(SUMIF(L463:L472,"Pembimbing Utama Tesis",K463:K472)),3*6)+IF((COUNTIF(L463:L472,"Pembimbing Pendamping Tesis"))&lt;=6,(SUMIF(L463:L472,"Pembimbing Pendamping Tesis",K463:K472)),2*6)+IF((COUNTIF(L463:L472,"Pembimbing Utama Disertasi"))&lt;=4,(SUMIF(L463:L472,"Pembimbing Utama Disertasi",K463:K472)),8*4)+IF((COUNTIF(L463:L472,"Pembimbing Pendamping Disertasi"))&lt;=4,(SUMIF(L463:L472,"Pembimbing Pendamping Disertasi",K463:K472)),6*4)&lt;=32,IF((COUNTIF(L463:L472,"Pembimbing Utama Laporan akhir studi"))&lt;=10,(SUMIF(L463:L472,"Pembimbing Utama Laporan akhir studi",K463:K472)),1*10)+IF((COUNTIF(L463:L472,"Pembimbing Pendamping Laporan akhir studi"))&lt;=10,(SUMIF(L463:L472,"Pembimbing Pendamping Laporan akhir studi",K463:K472)),0.5*10)+IF((COUNTIF(L463:L472,"Pembimbing Utama Skripsi"))&lt;=8,(SUMIF(L463:L472,"Pembimbing Utama Skripsi",K463:K472)),1*8)+IF((COUNTIF(L463:L472,"Pembimbing Pendamping Skripsi"))&lt;=8,(SUMIF(L463:L472,"Pembimbing Pendamping Skripsi",K463:K472)),1*8)+IF((COUNTIF(L463:L472,"Pembimbing Utama Tesis"))&lt;=6,(SUMIF(L463:L472,"Pembimbing Utama Tesis",K463:K472)),3*6)+IF((COUNTIF(L463:L472,"Pembimbing Pendamping Tesis"))&lt;=6,(SUMIF(L463:L472,"Pembimbing Pendamping Tesis",K463:K472)),2*6)+IF((COUNTIF(L463:L472,"Pembimbing Utama Disertasi"))&lt;=4,(SUMIF(L463:L472,"Pembimbing Utama Disertasi",K463:K472)),8*4)+IF((COUNTIF(L463:L472,"Pembimbing Pendamping Disertasi"))&lt;=4,(SUMIF(L463:L472,"Pembimbing Pendamping Disertasi",K463:K472)),6*4),32)</f>
        <v>0</v>
      </c>
      <c r="N473" s="33" t="str">
        <f>"Max 32"</f>
        <v>Max 32</v>
      </c>
    </row>
    <row r="474" spans="1:14" hidden="1" x14ac:dyDescent="0.45">
      <c r="A474" s="67">
        <v>1</v>
      </c>
      <c r="B474" s="186" t="s">
        <v>97</v>
      </c>
      <c r="C474" s="28" t="s">
        <v>114</v>
      </c>
      <c r="D474" s="28" t="str">
        <f>IF(G474&lt;&gt;"rumus","Lulusan","")</f>
        <v/>
      </c>
      <c r="E474" s="256" t="str">
        <f t="shared" ref="E474:E483" si="170">IF(I474&lt;&gt;"",1,"")</f>
        <v/>
      </c>
      <c r="F474" s="256" t="str">
        <f>IF(I474&lt;&gt;"",K474,"")</f>
        <v/>
      </c>
      <c r="G474" s="159" t="str">
        <f>IF(K474&lt;&gt;"rumus","1 x "&amp;K474&amp;" = "&amp;K474,"rumus")</f>
        <v>rumus</v>
      </c>
      <c r="H474" s="28" t="s">
        <v>620</v>
      </c>
      <c r="I474" s="36"/>
      <c r="J474" s="36"/>
      <c r="K474" s="37" t="str">
        <f t="shared" ref="K474:K483" si="171">IF(AND(I474&lt;&gt;"",J474&lt;&gt;""),IF(I474="Pembimbing Utama",IF(J474="Disertasi",8,IF(J474="Tesis",3,IF(J474="Skripsi",1,IF(J474="Laporan akhir studi",1,"")))),IF(I474="Pembimbing Pendamping",IF(J474="Disertasi",6,IF(J474="Tesis",2,IF(J474="Skripsi",0.5,IF(J474="Laporan akhir studi",0.5,"")))))),"rumus")</f>
        <v>rumus</v>
      </c>
      <c r="L474" s="115" t="str">
        <f t="shared" ref="L474:L483" si="172">I474&amp;" "&amp;J474</f>
        <v xml:space="preserve"> </v>
      </c>
      <c r="M474" s="35"/>
    </row>
    <row r="475" spans="1:14" hidden="1" x14ac:dyDescent="0.45">
      <c r="A475" s="67">
        <v>2</v>
      </c>
      <c r="B475" s="186" t="s">
        <v>97</v>
      </c>
      <c r="C475" s="28" t="s">
        <v>114</v>
      </c>
      <c r="D475" s="28" t="str">
        <f t="shared" ref="D475:D483" si="173">IF(G475&lt;&gt;"rumus","Lulusan","")</f>
        <v/>
      </c>
      <c r="E475" s="256" t="str">
        <f t="shared" si="170"/>
        <v/>
      </c>
      <c r="F475" s="256" t="str">
        <f t="shared" ref="F475:F483" si="174">IF(I475&lt;&gt;"",K475,"")</f>
        <v/>
      </c>
      <c r="G475" s="159" t="str">
        <f t="shared" ref="G475:G483" si="175">IF(K475&lt;&gt;"rumus","1 x "&amp;K475&amp;" = "&amp;K475,"rumus")</f>
        <v>rumus</v>
      </c>
      <c r="H475" s="39" t="s">
        <v>66</v>
      </c>
      <c r="I475" s="36"/>
      <c r="J475" s="36"/>
      <c r="K475" s="37" t="str">
        <f t="shared" si="171"/>
        <v>rumus</v>
      </c>
      <c r="L475" s="115" t="str">
        <f t="shared" si="172"/>
        <v xml:space="preserve"> </v>
      </c>
      <c r="M475" s="35"/>
    </row>
    <row r="476" spans="1:14" hidden="1" x14ac:dyDescent="0.45">
      <c r="A476" s="67">
        <v>3</v>
      </c>
      <c r="B476" s="186" t="s">
        <v>97</v>
      </c>
      <c r="C476" s="28" t="s">
        <v>114</v>
      </c>
      <c r="D476" s="28" t="str">
        <f t="shared" si="173"/>
        <v/>
      </c>
      <c r="E476" s="256" t="str">
        <f t="shared" si="170"/>
        <v/>
      </c>
      <c r="F476" s="256" t="str">
        <f t="shared" si="174"/>
        <v/>
      </c>
      <c r="G476" s="159" t="str">
        <f t="shared" si="175"/>
        <v>rumus</v>
      </c>
      <c r="H476" s="39" t="s">
        <v>66</v>
      </c>
      <c r="I476" s="36"/>
      <c r="J476" s="36"/>
      <c r="K476" s="37" t="str">
        <f t="shared" si="171"/>
        <v>rumus</v>
      </c>
      <c r="L476" s="115" t="str">
        <f t="shared" si="172"/>
        <v xml:space="preserve"> </v>
      </c>
      <c r="M476" s="35"/>
    </row>
    <row r="477" spans="1:14" hidden="1" x14ac:dyDescent="0.45">
      <c r="A477" s="67">
        <v>4</v>
      </c>
      <c r="B477" s="186" t="s">
        <v>97</v>
      </c>
      <c r="C477" s="28" t="s">
        <v>114</v>
      </c>
      <c r="D477" s="28" t="str">
        <f t="shared" si="173"/>
        <v/>
      </c>
      <c r="E477" s="256" t="str">
        <f t="shared" si="170"/>
        <v/>
      </c>
      <c r="F477" s="256" t="str">
        <f t="shared" si="174"/>
        <v/>
      </c>
      <c r="G477" s="159" t="str">
        <f t="shared" si="175"/>
        <v>rumus</v>
      </c>
      <c r="H477" s="39" t="s">
        <v>66</v>
      </c>
      <c r="I477" s="36"/>
      <c r="J477" s="36"/>
      <c r="K477" s="37" t="str">
        <f t="shared" si="171"/>
        <v>rumus</v>
      </c>
      <c r="L477" s="115" t="str">
        <f t="shared" si="172"/>
        <v xml:space="preserve"> </v>
      </c>
      <c r="M477" s="35"/>
    </row>
    <row r="478" spans="1:14" hidden="1" x14ac:dyDescent="0.45">
      <c r="A478" s="67">
        <v>5</v>
      </c>
      <c r="B478" s="186" t="s">
        <v>97</v>
      </c>
      <c r="C478" s="28" t="s">
        <v>114</v>
      </c>
      <c r="D478" s="28" t="str">
        <f t="shared" si="173"/>
        <v/>
      </c>
      <c r="E478" s="256" t="str">
        <f t="shared" si="170"/>
        <v/>
      </c>
      <c r="F478" s="256" t="str">
        <f t="shared" si="174"/>
        <v/>
      </c>
      <c r="G478" s="159" t="str">
        <f t="shared" si="175"/>
        <v>rumus</v>
      </c>
      <c r="H478" s="39" t="s">
        <v>66</v>
      </c>
      <c r="I478" s="36"/>
      <c r="J478" s="36"/>
      <c r="K478" s="37" t="str">
        <f t="shared" si="171"/>
        <v>rumus</v>
      </c>
      <c r="L478" s="115" t="str">
        <f t="shared" si="172"/>
        <v xml:space="preserve"> </v>
      </c>
      <c r="M478" s="35"/>
    </row>
    <row r="479" spans="1:14" hidden="1" x14ac:dyDescent="0.45">
      <c r="A479" s="67">
        <v>6</v>
      </c>
      <c r="B479" s="186" t="s">
        <v>97</v>
      </c>
      <c r="C479" s="28" t="s">
        <v>114</v>
      </c>
      <c r="D479" s="28" t="str">
        <f t="shared" si="173"/>
        <v/>
      </c>
      <c r="E479" s="256" t="str">
        <f t="shared" si="170"/>
        <v/>
      </c>
      <c r="F479" s="256" t="str">
        <f t="shared" si="174"/>
        <v/>
      </c>
      <c r="G479" s="159" t="str">
        <f t="shared" si="175"/>
        <v>rumus</v>
      </c>
      <c r="H479" s="39" t="s">
        <v>66</v>
      </c>
      <c r="I479" s="36"/>
      <c r="J479" s="36"/>
      <c r="K479" s="37" t="str">
        <f t="shared" si="171"/>
        <v>rumus</v>
      </c>
      <c r="L479" s="115" t="str">
        <f t="shared" si="172"/>
        <v xml:space="preserve"> </v>
      </c>
      <c r="M479" s="35"/>
    </row>
    <row r="480" spans="1:14" ht="15" hidden="1" customHeight="1" x14ac:dyDescent="0.45">
      <c r="A480" s="67">
        <v>7</v>
      </c>
      <c r="B480" s="186" t="s">
        <v>97</v>
      </c>
      <c r="C480" s="28" t="s">
        <v>114</v>
      </c>
      <c r="D480" s="28" t="str">
        <f t="shared" si="173"/>
        <v/>
      </c>
      <c r="E480" s="256" t="str">
        <f t="shared" si="170"/>
        <v/>
      </c>
      <c r="F480" s="256" t="str">
        <f t="shared" si="174"/>
        <v/>
      </c>
      <c r="G480" s="159" t="str">
        <f t="shared" si="175"/>
        <v>rumus</v>
      </c>
      <c r="H480" s="39" t="s">
        <v>66</v>
      </c>
      <c r="I480" s="36"/>
      <c r="J480" s="36"/>
      <c r="K480" s="37" t="str">
        <f t="shared" si="171"/>
        <v>rumus</v>
      </c>
      <c r="L480" s="115" t="str">
        <f t="shared" si="172"/>
        <v xml:space="preserve"> </v>
      </c>
      <c r="M480" s="35"/>
    </row>
    <row r="481" spans="1:14" ht="15" hidden="1" customHeight="1" x14ac:dyDescent="0.45">
      <c r="A481" s="67">
        <v>8</v>
      </c>
      <c r="B481" s="186" t="s">
        <v>97</v>
      </c>
      <c r="C481" s="28" t="s">
        <v>114</v>
      </c>
      <c r="D481" s="28" t="str">
        <f t="shared" si="173"/>
        <v/>
      </c>
      <c r="E481" s="256" t="str">
        <f t="shared" si="170"/>
        <v/>
      </c>
      <c r="F481" s="256" t="str">
        <f t="shared" si="174"/>
        <v/>
      </c>
      <c r="G481" s="159" t="str">
        <f t="shared" si="175"/>
        <v>rumus</v>
      </c>
      <c r="H481" s="39" t="s">
        <v>66</v>
      </c>
      <c r="I481" s="36"/>
      <c r="J481" s="36"/>
      <c r="K481" s="37" t="str">
        <f t="shared" si="171"/>
        <v>rumus</v>
      </c>
      <c r="L481" s="115" t="str">
        <f t="shared" si="172"/>
        <v xml:space="preserve"> </v>
      </c>
      <c r="M481" s="35"/>
    </row>
    <row r="482" spans="1:14" ht="15" hidden="1" customHeight="1" x14ac:dyDescent="0.45">
      <c r="A482" s="67">
        <v>9</v>
      </c>
      <c r="B482" s="186" t="s">
        <v>97</v>
      </c>
      <c r="C482" s="28" t="s">
        <v>114</v>
      </c>
      <c r="D482" s="28" t="str">
        <f t="shared" si="173"/>
        <v/>
      </c>
      <c r="E482" s="256" t="str">
        <f t="shared" si="170"/>
        <v/>
      </c>
      <c r="F482" s="256" t="str">
        <f t="shared" si="174"/>
        <v/>
      </c>
      <c r="G482" s="159" t="str">
        <f t="shared" si="175"/>
        <v>rumus</v>
      </c>
      <c r="H482" s="39" t="s">
        <v>66</v>
      </c>
      <c r="I482" s="36"/>
      <c r="J482" s="36"/>
      <c r="K482" s="37" t="str">
        <f t="shared" si="171"/>
        <v>rumus</v>
      </c>
      <c r="L482" s="115" t="str">
        <f t="shared" si="172"/>
        <v xml:space="preserve"> </v>
      </c>
      <c r="M482" s="35"/>
    </row>
    <row r="483" spans="1:14" ht="15" hidden="1" customHeight="1" x14ac:dyDescent="0.45">
      <c r="A483" s="67">
        <v>10</v>
      </c>
      <c r="B483" s="186" t="s">
        <v>97</v>
      </c>
      <c r="C483" s="28" t="s">
        <v>114</v>
      </c>
      <c r="D483" s="28" t="str">
        <f t="shared" si="173"/>
        <v/>
      </c>
      <c r="E483" s="256" t="str">
        <f t="shared" si="170"/>
        <v/>
      </c>
      <c r="F483" s="256" t="str">
        <f t="shared" si="174"/>
        <v/>
      </c>
      <c r="G483" s="159" t="str">
        <f t="shared" si="175"/>
        <v>rumus</v>
      </c>
      <c r="H483" s="39" t="s">
        <v>66</v>
      </c>
      <c r="I483" s="36"/>
      <c r="J483" s="36"/>
      <c r="K483" s="37" t="str">
        <f t="shared" si="171"/>
        <v>rumus</v>
      </c>
      <c r="L483" s="115" t="str">
        <f t="shared" si="172"/>
        <v xml:space="preserve"> </v>
      </c>
      <c r="M483" s="35"/>
    </row>
    <row r="484" spans="1:14" hidden="1" x14ac:dyDescent="0.45">
      <c r="A484" s="67"/>
      <c r="B484" s="168" t="str">
        <f>"b. Semester Genap "&amp;IF(C485&lt;&gt;"",C485,"")&amp;" :"</f>
        <v>b. Semester Genap 2014/2015 :</v>
      </c>
      <c r="C484" s="57"/>
      <c r="D484" s="57"/>
      <c r="E484" s="57"/>
      <c r="F484" s="57"/>
      <c r="G484" s="30"/>
      <c r="H484" s="54"/>
      <c r="I484" s="35"/>
      <c r="M484" s="25">
        <f>IF(IF((COUNTIF(L474:L483,"Pembimbing Utama Laporan akhir studi"))&lt;=10,(SUMIF(L474:L483,"Pembimbing Utama Laporan akhir studi",K474:K483)),1*10)+IF((COUNTIF(L474:L483,"Pembimbing Pendamping Laporan akhir studi"))&lt;=10,(SUMIF(L474:L483,"Pembimbing Pendamping Laporan akhir studi",K474:K483)),0.5*10)+IF((COUNTIF(L474:L483,"Pembimbing Utama Skripsi"))&lt;=8,(SUMIF(L474:L483,"Pembimbing Utama Skripsi",K474:K483)),1*8)+IF((COUNTIF(L474:L483,"Pembimbing Pendamping Skripsi"))&lt;=8,(SUMIF(L474:L483,"Pembimbing Pendamping Skripsi",K474:K483)),1*8)+IF((COUNTIF(L474:L483,"Pembimbing Utama Tesis"))&lt;=6,(SUMIF(L474:L483,"Pembimbing Utama Tesis",K474:K483)),3*6)+IF((COUNTIF(L474:L483,"Pembimbing Pendamping Tesis"))&lt;=6,(SUMIF(L474:L483,"Pembimbing Pendamping Tesis",K474:K483)),2*6)+IF((COUNTIF(L474:L483,"Pembimbing Utama Disertasi"))&lt;=4,(SUMIF(L474:L483,"Pembimbing Utama Disertasi",K474:K483)),8*4)+IF((COUNTIF(L474:L483,"Pembimbing Pendamping Disertasi"))&lt;=4,(SUMIF(L474:L483,"Pembimbing Pendamping Disertasi",K474:K483)),6*4)&lt;=32,IF((COUNTIF(L474:L483,"Pembimbing Utama Laporan akhir studi"))&lt;=10,(SUMIF(L474:L483,"Pembimbing Utama Laporan akhir studi",K474:K483)),1*10)+IF((COUNTIF(L474:L483,"Pembimbing Pendamping Laporan akhir studi"))&lt;=10,(SUMIF(L474:L483,"Pembimbing Pendamping Laporan akhir studi",K474:K483)),0.5*10)+IF((COUNTIF(L474:L483,"Pembimbing Utama Skripsi"))&lt;=8,(SUMIF(L474:L483,"Pembimbing Utama Skripsi",K474:K483)),1*8)+IF((COUNTIF(L474:L483,"Pembimbing Pendamping Skripsi"))&lt;=8,(SUMIF(L474:L483,"Pembimbing Pendamping Skripsi",K474:K483)),1*8)+IF((COUNTIF(L474:L483,"Pembimbing Utama Tesis"))&lt;=6,(SUMIF(L474:L483,"Pembimbing Utama Tesis",K474:K483)),3*6)+IF((COUNTIF(L474:L483,"Pembimbing Pendamping Tesis"))&lt;=6,(SUMIF(L474:L483,"Pembimbing Pendamping Tesis",K474:K483)),2*6)+IF((COUNTIF(L474:L483,"Pembimbing Utama Disertasi"))&lt;=4,(SUMIF(L474:L483,"Pembimbing Utama Disertasi",K474:K483)),8*4)+IF((COUNTIF(L474:L483,"Pembimbing Pendamping Disertasi"))&lt;=4,(SUMIF(L474:L483,"Pembimbing Pendamping Disertasi",K474:K483)),6*4),32)</f>
        <v>0</v>
      </c>
      <c r="N484" s="33" t="str">
        <f>"Max 32"</f>
        <v>Max 32</v>
      </c>
    </row>
    <row r="485" spans="1:14" hidden="1" x14ac:dyDescent="0.45">
      <c r="A485" s="67">
        <v>1</v>
      </c>
      <c r="B485" s="186" t="s">
        <v>97</v>
      </c>
      <c r="C485" s="28" t="s">
        <v>251</v>
      </c>
      <c r="D485" s="28" t="str">
        <f>IF(G485&lt;&gt;"rumus","Lulusan","")</f>
        <v/>
      </c>
      <c r="E485" s="256" t="str">
        <f t="shared" ref="E485:E494" si="176">IF(I485&lt;&gt;"",1,"")</f>
        <v/>
      </c>
      <c r="F485" s="256" t="str">
        <f>IF(I485&lt;&gt;"",K485,"")</f>
        <v/>
      </c>
      <c r="G485" s="159" t="str">
        <f>IF(K485&lt;&gt;"rumus","1 x "&amp;K485&amp;" = "&amp;K485,"rumus")</f>
        <v>rumus</v>
      </c>
      <c r="H485" s="28" t="s">
        <v>620</v>
      </c>
      <c r="I485" s="36"/>
      <c r="J485" s="36"/>
      <c r="K485" s="37" t="str">
        <f t="shared" ref="K485:K494" si="177">IF(AND(I485&lt;&gt;"",J485&lt;&gt;""),IF(I485="Pembimbing Utama",IF(J485="Disertasi",8,IF(J485="Tesis",3,IF(J485="Skripsi",1,IF(J485="Laporan akhir studi",1,"")))),IF(I485="Pembimbing Pendamping",IF(J485="Disertasi",6,IF(J485="Tesis",2,IF(J485="Skripsi",0.5,IF(J485="Laporan akhir studi",0.5,"")))))),"rumus")</f>
        <v>rumus</v>
      </c>
      <c r="L485" s="115" t="str">
        <f t="shared" ref="L485:L494" si="178">I485&amp;" "&amp;J485</f>
        <v xml:space="preserve"> </v>
      </c>
      <c r="M485" s="35"/>
    </row>
    <row r="486" spans="1:14" hidden="1" x14ac:dyDescent="0.45">
      <c r="A486" s="67">
        <v>2</v>
      </c>
      <c r="B486" s="186" t="s">
        <v>97</v>
      </c>
      <c r="C486" s="28" t="s">
        <v>251</v>
      </c>
      <c r="D486" s="28" t="str">
        <f t="shared" ref="D486:D494" si="179">IF(G486&lt;&gt;"rumus","Lulusan","")</f>
        <v/>
      </c>
      <c r="E486" s="256" t="str">
        <f t="shared" si="176"/>
        <v/>
      </c>
      <c r="F486" s="256" t="str">
        <f t="shared" ref="F486:F494" si="180">IF(I486&lt;&gt;"",K486,"")</f>
        <v/>
      </c>
      <c r="G486" s="159" t="str">
        <f t="shared" ref="G486:G494" si="181">IF(K486&lt;&gt;"rumus","1 x "&amp;K486&amp;" = "&amp;K486,"rumus")</f>
        <v>rumus</v>
      </c>
      <c r="H486" s="39" t="s">
        <v>66</v>
      </c>
      <c r="I486" s="36"/>
      <c r="J486" s="36"/>
      <c r="K486" s="37" t="str">
        <f t="shared" si="177"/>
        <v>rumus</v>
      </c>
      <c r="L486" s="115" t="str">
        <f t="shared" si="178"/>
        <v xml:space="preserve"> </v>
      </c>
      <c r="M486" s="35"/>
    </row>
    <row r="487" spans="1:14" hidden="1" x14ac:dyDescent="0.45">
      <c r="A487" s="67">
        <v>3</v>
      </c>
      <c r="B487" s="186" t="s">
        <v>97</v>
      </c>
      <c r="C487" s="28" t="s">
        <v>251</v>
      </c>
      <c r="D487" s="28" t="str">
        <f t="shared" si="179"/>
        <v/>
      </c>
      <c r="E487" s="256" t="str">
        <f t="shared" si="176"/>
        <v/>
      </c>
      <c r="F487" s="256" t="str">
        <f t="shared" si="180"/>
        <v/>
      </c>
      <c r="G487" s="159" t="str">
        <f t="shared" si="181"/>
        <v>rumus</v>
      </c>
      <c r="H487" s="39" t="s">
        <v>66</v>
      </c>
      <c r="I487" s="36"/>
      <c r="J487" s="36"/>
      <c r="K487" s="37" t="str">
        <f t="shared" si="177"/>
        <v>rumus</v>
      </c>
      <c r="L487" s="115" t="str">
        <f t="shared" si="178"/>
        <v xml:space="preserve"> </v>
      </c>
      <c r="M487" s="35"/>
    </row>
    <row r="488" spans="1:14" hidden="1" x14ac:dyDescent="0.45">
      <c r="A488" s="67">
        <v>4</v>
      </c>
      <c r="B488" s="186" t="s">
        <v>97</v>
      </c>
      <c r="C488" s="28" t="s">
        <v>251</v>
      </c>
      <c r="D488" s="28" t="str">
        <f t="shared" si="179"/>
        <v/>
      </c>
      <c r="E488" s="256" t="str">
        <f t="shared" si="176"/>
        <v/>
      </c>
      <c r="F488" s="256" t="str">
        <f t="shared" si="180"/>
        <v/>
      </c>
      <c r="G488" s="159" t="str">
        <f t="shared" si="181"/>
        <v>rumus</v>
      </c>
      <c r="H488" s="39" t="s">
        <v>66</v>
      </c>
      <c r="I488" s="36"/>
      <c r="J488" s="36"/>
      <c r="K488" s="37" t="str">
        <f t="shared" si="177"/>
        <v>rumus</v>
      </c>
      <c r="L488" s="115" t="str">
        <f t="shared" si="178"/>
        <v xml:space="preserve"> </v>
      </c>
      <c r="M488" s="35"/>
    </row>
    <row r="489" spans="1:14" hidden="1" x14ac:dyDescent="0.45">
      <c r="A489" s="67">
        <v>5</v>
      </c>
      <c r="B489" s="186" t="s">
        <v>97</v>
      </c>
      <c r="C489" s="28" t="s">
        <v>251</v>
      </c>
      <c r="D489" s="28" t="str">
        <f t="shared" si="179"/>
        <v/>
      </c>
      <c r="E489" s="256" t="str">
        <f t="shared" si="176"/>
        <v/>
      </c>
      <c r="F489" s="256" t="str">
        <f t="shared" si="180"/>
        <v/>
      </c>
      <c r="G489" s="159" t="str">
        <f t="shared" si="181"/>
        <v>rumus</v>
      </c>
      <c r="H489" s="39" t="s">
        <v>66</v>
      </c>
      <c r="I489" s="36"/>
      <c r="J489" s="36"/>
      <c r="K489" s="37" t="str">
        <f t="shared" si="177"/>
        <v>rumus</v>
      </c>
      <c r="L489" s="115" t="str">
        <f t="shared" si="178"/>
        <v xml:space="preserve"> </v>
      </c>
      <c r="M489" s="35"/>
    </row>
    <row r="490" spans="1:14" hidden="1" x14ac:dyDescent="0.45">
      <c r="A490" s="67">
        <v>6</v>
      </c>
      <c r="B490" s="186" t="s">
        <v>97</v>
      </c>
      <c r="C490" s="28" t="s">
        <v>251</v>
      </c>
      <c r="D490" s="28" t="str">
        <f t="shared" si="179"/>
        <v/>
      </c>
      <c r="E490" s="256" t="str">
        <f t="shared" si="176"/>
        <v/>
      </c>
      <c r="F490" s="256" t="str">
        <f t="shared" si="180"/>
        <v/>
      </c>
      <c r="G490" s="159" t="str">
        <f t="shared" si="181"/>
        <v>rumus</v>
      </c>
      <c r="H490" s="39" t="s">
        <v>66</v>
      </c>
      <c r="I490" s="36"/>
      <c r="J490" s="36"/>
      <c r="K490" s="37" t="str">
        <f t="shared" si="177"/>
        <v>rumus</v>
      </c>
      <c r="L490" s="115" t="str">
        <f t="shared" si="178"/>
        <v xml:space="preserve"> </v>
      </c>
      <c r="M490" s="35"/>
    </row>
    <row r="491" spans="1:14" hidden="1" x14ac:dyDescent="0.45">
      <c r="A491" s="67">
        <v>7</v>
      </c>
      <c r="B491" s="186" t="s">
        <v>97</v>
      </c>
      <c r="C491" s="28" t="s">
        <v>251</v>
      </c>
      <c r="D491" s="28" t="str">
        <f t="shared" si="179"/>
        <v/>
      </c>
      <c r="E491" s="256" t="str">
        <f t="shared" si="176"/>
        <v/>
      </c>
      <c r="F491" s="256" t="str">
        <f t="shared" si="180"/>
        <v/>
      </c>
      <c r="G491" s="159" t="str">
        <f t="shared" si="181"/>
        <v>rumus</v>
      </c>
      <c r="H491" s="39" t="s">
        <v>66</v>
      </c>
      <c r="I491" s="36"/>
      <c r="J491" s="36"/>
      <c r="K491" s="37" t="str">
        <f t="shared" si="177"/>
        <v>rumus</v>
      </c>
      <c r="L491" s="115" t="str">
        <f t="shared" si="178"/>
        <v xml:space="preserve"> </v>
      </c>
      <c r="M491" s="35"/>
    </row>
    <row r="492" spans="1:14" hidden="1" x14ac:dyDescent="0.45">
      <c r="A492" s="67">
        <v>8</v>
      </c>
      <c r="B492" s="186" t="s">
        <v>97</v>
      </c>
      <c r="C492" s="28" t="s">
        <v>251</v>
      </c>
      <c r="D492" s="28" t="str">
        <f t="shared" si="179"/>
        <v/>
      </c>
      <c r="E492" s="256" t="str">
        <f t="shared" si="176"/>
        <v/>
      </c>
      <c r="F492" s="256" t="str">
        <f t="shared" si="180"/>
        <v/>
      </c>
      <c r="G492" s="159" t="str">
        <f t="shared" si="181"/>
        <v>rumus</v>
      </c>
      <c r="H492" s="39" t="s">
        <v>66</v>
      </c>
      <c r="I492" s="36"/>
      <c r="J492" s="36"/>
      <c r="K492" s="37" t="str">
        <f t="shared" si="177"/>
        <v>rumus</v>
      </c>
      <c r="L492" s="115" t="str">
        <f t="shared" si="178"/>
        <v xml:space="preserve"> </v>
      </c>
      <c r="M492" s="35"/>
    </row>
    <row r="493" spans="1:14" hidden="1" x14ac:dyDescent="0.45">
      <c r="A493" s="67">
        <v>9</v>
      </c>
      <c r="B493" s="186" t="s">
        <v>97</v>
      </c>
      <c r="C493" s="28" t="s">
        <v>251</v>
      </c>
      <c r="D493" s="28" t="str">
        <f t="shared" si="179"/>
        <v/>
      </c>
      <c r="E493" s="256" t="str">
        <f t="shared" si="176"/>
        <v/>
      </c>
      <c r="F493" s="256" t="str">
        <f t="shared" si="180"/>
        <v/>
      </c>
      <c r="G493" s="159" t="str">
        <f t="shared" si="181"/>
        <v>rumus</v>
      </c>
      <c r="H493" s="39" t="s">
        <v>66</v>
      </c>
      <c r="I493" s="36"/>
      <c r="J493" s="36"/>
      <c r="K493" s="37" t="str">
        <f t="shared" si="177"/>
        <v>rumus</v>
      </c>
      <c r="L493" s="115" t="str">
        <f t="shared" si="178"/>
        <v xml:space="preserve"> </v>
      </c>
      <c r="M493" s="35"/>
    </row>
    <row r="494" spans="1:14" ht="15" hidden="1" customHeight="1" x14ac:dyDescent="0.45">
      <c r="A494" s="67">
        <v>10</v>
      </c>
      <c r="B494" s="186" t="s">
        <v>97</v>
      </c>
      <c r="C494" s="28" t="s">
        <v>251</v>
      </c>
      <c r="D494" s="28" t="str">
        <f t="shared" si="179"/>
        <v/>
      </c>
      <c r="E494" s="256" t="str">
        <f t="shared" si="176"/>
        <v/>
      </c>
      <c r="F494" s="256" t="str">
        <f t="shared" si="180"/>
        <v/>
      </c>
      <c r="G494" s="159" t="str">
        <f t="shared" si="181"/>
        <v>rumus</v>
      </c>
      <c r="H494" s="39" t="s">
        <v>66</v>
      </c>
      <c r="I494" s="36"/>
      <c r="J494" s="36"/>
      <c r="K494" s="37" t="str">
        <f t="shared" si="177"/>
        <v>rumus</v>
      </c>
      <c r="L494" s="115" t="str">
        <f t="shared" si="178"/>
        <v xml:space="preserve"> </v>
      </c>
      <c r="M494" s="35"/>
    </row>
    <row r="495" spans="1:14" x14ac:dyDescent="0.45">
      <c r="A495" s="67"/>
      <c r="B495" s="168" t="str">
        <f>"b. Semester Genap "&amp;IF(C496&lt;&gt;"",C496,"")&amp;" :"</f>
        <v>b. Semester Genap 2015/2016 :</v>
      </c>
      <c r="C495" s="30"/>
      <c r="D495" s="30"/>
      <c r="E495" s="30"/>
      <c r="F495" s="30"/>
      <c r="G495" s="30"/>
      <c r="H495" s="54"/>
      <c r="I495" s="35"/>
      <c r="M495" s="25">
        <f>IF(IF((COUNTIF(L485:L494,"Pembimbing Utama Laporan akhir studi"))&lt;=10,(SUMIF(L485:L494,"Pembimbing Utama Laporan akhir studi",K485:K494)),1*10)+IF((COUNTIF(L485:L494,"Pembimbing Pendamping Laporan akhir studi"))&lt;=10,(SUMIF(L485:L494,"Pembimbing Pendamping Laporan akhir studi",K485:K494)),0.5*10)+IF((COUNTIF(L485:L494,"Pembimbing Utama Skripsi"))&lt;=8,(SUMIF(L485:L494,"Pembimbing Utama Skripsi",K485:K494)),1*8)+IF((COUNTIF(L485:L494,"Pembimbing Pendamping Skripsi"))&lt;=8,(SUMIF(L485:L494,"Pembimbing Pendamping Skripsi",K485:K494)),1*8)+IF((COUNTIF(L485:L494,"Pembimbing Utama Tesis"))&lt;=6,(SUMIF(L485:L494,"Pembimbing Utama Tesis",K485:K494)),3*6)+IF((COUNTIF(L485:L494,"Pembimbing Pendamping Tesis"))&lt;=6,(SUMIF(L485:L494,"Pembimbing Pendamping Tesis",K485:K494)),2*6)+IF((COUNTIF(L485:L494,"Pembimbing Utama Disertasi"))&lt;=4,(SUMIF(L485:L494,"Pembimbing Utama Disertasi",K485:K494)),8*4)+IF((COUNTIF(L485:L494,"Pembimbing Pendamping Disertasi"))&lt;=4,(SUMIF(L485:L494,"Pembimbing Pendamping Disertasi",K485:K494)),6*4)&lt;=32,IF((COUNTIF(L485:L494,"Pembimbing Utama Laporan akhir studi"))&lt;=10,(SUMIF(L485:L494,"Pembimbing Utama Laporan akhir studi",K485:K494)),1*10)+IF((COUNTIF(L485:L494,"Pembimbing Pendamping Laporan akhir studi"))&lt;=10,(SUMIF(L485:L494,"Pembimbing Pendamping Laporan akhir studi",K485:K494)),0.5*10)+IF((COUNTIF(L485:L494,"Pembimbing Utama Skripsi"))&lt;=8,(SUMIF(L485:L494,"Pembimbing Utama Skripsi",K485:K494)),1*8)+IF((COUNTIF(L485:L494,"Pembimbing Pendamping Skripsi"))&lt;=8,(SUMIF(L485:L494,"Pembimbing Pendamping Skripsi",K485:K494)),1*8)+IF((COUNTIF(L485:L494,"Pembimbing Utama Tesis"))&lt;=6,(SUMIF(L485:L494,"Pembimbing Utama Tesis",K485:K494)),3*6)+IF((COUNTIF(L485:L494,"Pembimbing Pendamping Tesis"))&lt;=6,(SUMIF(L485:L494,"Pembimbing Pendamping Tesis",K485:K494)),2*6)+IF((COUNTIF(L485:L494,"Pembimbing Utama Disertasi"))&lt;=4,(SUMIF(L485:L494,"Pembimbing Utama Disertasi",K485:K494)),8*4)+IF((COUNTIF(L485:L494,"Pembimbing Pendamping Disertasi"))&lt;=4,(SUMIF(L485:L494,"Pembimbing Pendamping Disertasi",K485:K494)),6*4),32)</f>
        <v>0</v>
      </c>
      <c r="N495" s="33" t="str">
        <f>"Max 32"</f>
        <v>Max 32</v>
      </c>
    </row>
    <row r="496" spans="1:14" x14ac:dyDescent="0.45">
      <c r="A496" s="67">
        <v>1</v>
      </c>
      <c r="B496" s="823" t="s">
        <v>891</v>
      </c>
      <c r="C496" s="28" t="s">
        <v>252</v>
      </c>
      <c r="D496" s="28" t="str">
        <f>IF(G496&lt;&gt;"rumus","Lulusan","")</f>
        <v>Lulusan</v>
      </c>
      <c r="E496" s="256">
        <f t="shared" ref="E496:E505" si="182">IF(I496&lt;&gt;"",1,"")</f>
        <v>1</v>
      </c>
      <c r="F496" s="256">
        <f>IF(I496&lt;&gt;"",K496,"")</f>
        <v>1</v>
      </c>
      <c r="G496" s="159" t="str">
        <f>IF(K496&lt;&gt;"rumus","1 x "&amp;K496&amp;" = "&amp;K496,"rumus")</f>
        <v>1 x 1 = 1</v>
      </c>
      <c r="H496" s="820" t="s">
        <v>900</v>
      </c>
      <c r="I496" s="36" t="s">
        <v>857</v>
      </c>
      <c r="J496" s="36" t="s">
        <v>890</v>
      </c>
      <c r="K496" s="37">
        <f>IF(AND(I496&lt;&gt;"",J496&lt;&gt;""),IF(I496="Pembimbing Utama",IF(J496="Disertasi",8,IF(J496="Tesis",3,IF(J496="Skripsi",1,IF(J496="Laporan akhir studi",1,"")))),IF(I496="Pembimbing Pendamping",IF(J496="Disertasi",6,IF(J496="Tesis",2,IF(J496="Skripsi",0.5,IF(J496="Laporan akhir studi",0.5,"")))))),"rumus")</f>
        <v>1</v>
      </c>
      <c r="L496" s="115" t="str">
        <f t="shared" ref="L496:L505" si="183">I496&amp;" "&amp;J496</f>
        <v>Pembimbing Utama Laporan akhir studi</v>
      </c>
      <c r="M496" s="35"/>
    </row>
    <row r="497" spans="1:14" x14ac:dyDescent="0.45">
      <c r="A497" s="67">
        <v>2</v>
      </c>
      <c r="B497" s="823" t="s">
        <v>892</v>
      </c>
      <c r="C497" s="28" t="s">
        <v>252</v>
      </c>
      <c r="D497" s="28" t="str">
        <f t="shared" ref="D497:D505" si="184">IF(G497&lt;&gt;"rumus","Lulusan","")</f>
        <v>Lulusan</v>
      </c>
      <c r="E497" s="256">
        <f t="shared" si="182"/>
        <v>1</v>
      </c>
      <c r="F497" s="256">
        <f t="shared" ref="F497:F505" si="185">IF(I497&lt;&gt;"",K497,"")</f>
        <v>1</v>
      </c>
      <c r="G497" s="159" t="str">
        <f t="shared" ref="G497:G505" si="186">IF(K497&lt;&gt;"rumus","1 x "&amp;K497&amp;" = "&amp;K497,"rumus")</f>
        <v>1 x 1 = 1</v>
      </c>
      <c r="H497" s="820" t="s">
        <v>901</v>
      </c>
      <c r="I497" s="36" t="s">
        <v>857</v>
      </c>
      <c r="J497" s="36" t="s">
        <v>890</v>
      </c>
      <c r="K497" s="37">
        <f t="shared" ref="K497" si="187">IF(AND(I497&lt;&gt;"",J497&lt;&gt;""),IF(I497="Pembimbing Utama",IF(J497="Disertasi",8,IF(J497="Tesis",3,IF(J497="Skripsi",1,IF(J497="Laporan akhir studi",1,"")))),IF(I497="Pembimbing Pendamping",IF(J497="Disertasi",6,IF(J497="Tesis",2,IF(J497="Skripsi",0.5,IF(J497="Laporan akhir studi",0.5,"")))))),"rumus")</f>
        <v>1</v>
      </c>
      <c r="L497" s="115" t="str">
        <f t="shared" si="183"/>
        <v>Pembimbing Utama Laporan akhir studi</v>
      </c>
      <c r="M497" s="35"/>
    </row>
    <row r="498" spans="1:14" x14ac:dyDescent="0.45">
      <c r="A498" s="67">
        <v>3</v>
      </c>
      <c r="B498" s="823" t="s">
        <v>893</v>
      </c>
      <c r="C498" s="28" t="s">
        <v>252</v>
      </c>
      <c r="D498" s="28" t="str">
        <f t="shared" si="184"/>
        <v>Lulusan</v>
      </c>
      <c r="E498" s="256">
        <f t="shared" si="182"/>
        <v>1</v>
      </c>
      <c r="F498" s="256">
        <f t="shared" si="185"/>
        <v>1</v>
      </c>
      <c r="G498" s="159" t="str">
        <f t="shared" si="186"/>
        <v>1 x 1 = 1</v>
      </c>
      <c r="H498" s="820" t="s">
        <v>902</v>
      </c>
      <c r="I498" s="36" t="s">
        <v>857</v>
      </c>
      <c r="J498" s="36" t="s">
        <v>890</v>
      </c>
      <c r="K498" s="37">
        <f>IF(AND(I498&lt;&gt;"",J498&lt;&gt;""),IF(I498="Pembimbing Utama",IF(J498="Disertasi",8,IF(J498="Tesis",3,IF(J498="Skripsi",1,IF(J498="Laporan akhir studi",1,"")))),IF(I498="Pembimbing Pendamping",IF(J498="Disertasi",6,IF(J498="Tesis",2,IF(J498="Skripsi",0.5,IF(J498="Laporan akhir studi",0.5,"")))))),"rumus")</f>
        <v>1</v>
      </c>
      <c r="L498" s="115" t="str">
        <f t="shared" si="183"/>
        <v>Pembimbing Utama Laporan akhir studi</v>
      </c>
      <c r="M498" s="35"/>
    </row>
    <row r="499" spans="1:14" x14ac:dyDescent="0.45">
      <c r="A499" s="67">
        <v>4</v>
      </c>
      <c r="B499" s="823" t="s">
        <v>894</v>
      </c>
      <c r="C499" s="28" t="s">
        <v>252</v>
      </c>
      <c r="D499" s="28" t="str">
        <f t="shared" si="184"/>
        <v>Lulusan</v>
      </c>
      <c r="E499" s="256">
        <f t="shared" si="182"/>
        <v>1</v>
      </c>
      <c r="F499" s="256">
        <f t="shared" si="185"/>
        <v>1</v>
      </c>
      <c r="G499" s="159" t="str">
        <f t="shared" si="186"/>
        <v>1 x 1 = 1</v>
      </c>
      <c r="H499" s="820" t="s">
        <v>903</v>
      </c>
      <c r="I499" s="36" t="s">
        <v>857</v>
      </c>
      <c r="J499" s="36" t="s">
        <v>890</v>
      </c>
      <c r="K499" s="37">
        <f>IF(AND(I499&lt;&gt;"",J499&lt;&gt;""),IF(I499="Pembimbing Utama",IF(J499="Disertasi",8,IF(J499="Tesis",3,IF(J499="Skripsi",1,IF(J499="Laporan akhir studi",1,"")))),IF(I499="Pembimbing Pendamping",IF(J499="Disertasi",6,IF(J499="Tesis",2,IF(J499="Skripsi",0.5,IF(J499="Laporan akhir studi",0.5,"")))))),"rumus")</f>
        <v>1</v>
      </c>
      <c r="L499" s="115" t="str">
        <f t="shared" si="183"/>
        <v>Pembimbing Utama Laporan akhir studi</v>
      </c>
      <c r="M499" s="35"/>
    </row>
    <row r="500" spans="1:14" x14ac:dyDescent="0.45">
      <c r="A500" s="67">
        <v>5</v>
      </c>
      <c r="B500" s="823" t="s">
        <v>895</v>
      </c>
      <c r="C500" s="28" t="s">
        <v>252</v>
      </c>
      <c r="D500" s="28" t="str">
        <f t="shared" si="184"/>
        <v>Lulusan</v>
      </c>
      <c r="E500" s="256">
        <f t="shared" si="182"/>
        <v>1</v>
      </c>
      <c r="F500" s="256">
        <f t="shared" si="185"/>
        <v>1</v>
      </c>
      <c r="G500" s="159" t="str">
        <f t="shared" si="186"/>
        <v>1 x 1 = 1</v>
      </c>
      <c r="H500" s="820" t="s">
        <v>904</v>
      </c>
      <c r="I500" s="36" t="s">
        <v>857</v>
      </c>
      <c r="J500" s="36" t="s">
        <v>890</v>
      </c>
      <c r="K500" s="37">
        <f t="shared" ref="K500:K504" si="188">IF(AND(I500&lt;&gt;"",J500&lt;&gt;""),IF(I500="Pembimbing Utama",IF(J500="Disertasi",8,IF(J500="Tesis",3,IF(J500="Skripsi",1,IF(J500="Laporan akhir studi",1,"")))),IF(I500="Pembimbing Pendamping",IF(J500="Disertasi",6,IF(J500="Tesis",2,IF(J500="Skripsi",0.5,IF(J500="Laporan akhir studi",0.5,"")))))),"rumus")</f>
        <v>1</v>
      </c>
      <c r="L500" s="115" t="str">
        <f t="shared" si="183"/>
        <v>Pembimbing Utama Laporan akhir studi</v>
      </c>
      <c r="M500" s="35"/>
    </row>
    <row r="501" spans="1:14" x14ac:dyDescent="0.45">
      <c r="A501" s="67">
        <v>6</v>
      </c>
      <c r="B501" s="823" t="s">
        <v>896</v>
      </c>
      <c r="C501" s="28" t="s">
        <v>252</v>
      </c>
      <c r="D501" s="28" t="str">
        <f t="shared" si="184"/>
        <v>Lulusan</v>
      </c>
      <c r="E501" s="256">
        <f t="shared" si="182"/>
        <v>1</v>
      </c>
      <c r="F501" s="256">
        <f t="shared" si="185"/>
        <v>1</v>
      </c>
      <c r="G501" s="159" t="str">
        <f t="shared" si="186"/>
        <v>1 x 1 = 1</v>
      </c>
      <c r="H501" s="820" t="s">
        <v>905</v>
      </c>
      <c r="I501" s="36" t="s">
        <v>857</v>
      </c>
      <c r="J501" s="36" t="s">
        <v>890</v>
      </c>
      <c r="K501" s="37">
        <f t="shared" si="188"/>
        <v>1</v>
      </c>
      <c r="L501" s="115" t="str">
        <f t="shared" si="183"/>
        <v>Pembimbing Utama Laporan akhir studi</v>
      </c>
      <c r="M501" s="35"/>
    </row>
    <row r="502" spans="1:14" ht="15" customHeight="1" x14ac:dyDescent="0.45">
      <c r="A502" s="67">
        <v>7</v>
      </c>
      <c r="B502" s="823" t="s">
        <v>897</v>
      </c>
      <c r="C502" s="28" t="s">
        <v>252</v>
      </c>
      <c r="D502" s="28" t="str">
        <f t="shared" si="184"/>
        <v>Lulusan</v>
      </c>
      <c r="E502" s="256">
        <f t="shared" si="182"/>
        <v>1</v>
      </c>
      <c r="F502" s="256">
        <f t="shared" si="185"/>
        <v>0.5</v>
      </c>
      <c r="G502" s="159" t="str">
        <f t="shared" si="186"/>
        <v>1 x 0,5 = 0,5</v>
      </c>
      <c r="H502" s="820" t="s">
        <v>906</v>
      </c>
      <c r="I502" s="36" t="s">
        <v>858</v>
      </c>
      <c r="J502" s="36" t="s">
        <v>890</v>
      </c>
      <c r="K502" s="37">
        <f t="shared" si="188"/>
        <v>0.5</v>
      </c>
      <c r="L502" s="115" t="str">
        <f t="shared" si="183"/>
        <v>Pembimbing Pendamping Laporan akhir studi</v>
      </c>
      <c r="M502" s="35"/>
    </row>
    <row r="503" spans="1:14" ht="15" customHeight="1" x14ac:dyDescent="0.45">
      <c r="A503" s="67">
        <v>8</v>
      </c>
      <c r="B503" s="823" t="s">
        <v>898</v>
      </c>
      <c r="C503" s="28" t="s">
        <v>252</v>
      </c>
      <c r="D503" s="28" t="str">
        <f t="shared" si="184"/>
        <v>Lulusan</v>
      </c>
      <c r="E503" s="256">
        <f t="shared" si="182"/>
        <v>1</v>
      </c>
      <c r="F503" s="256">
        <f t="shared" si="185"/>
        <v>0.5</v>
      </c>
      <c r="G503" s="159" t="str">
        <f t="shared" si="186"/>
        <v>1 x 0,5 = 0,5</v>
      </c>
      <c r="H503" s="820" t="s">
        <v>907</v>
      </c>
      <c r="I503" s="36" t="s">
        <v>858</v>
      </c>
      <c r="J503" s="36" t="s">
        <v>890</v>
      </c>
      <c r="K503" s="37">
        <f>IF(AND(I503&lt;&gt;"",J503&lt;&gt;""),IF(I503="Pembimbing Utama",IF(J503="Disertasi",8,IF(J503="Tesis",3,IF(J503="Skripsi",1,IF(J503="Laporan akhir studi",1,"")))),IF(I503="Pembimbing Pendamping",IF(J503="Disertasi",6,IF(J503="Tesis",2,IF(J503="Skripsi",0.5,IF(J503="Laporan akhir studi",0.5,"")))))),"rumus")</f>
        <v>0.5</v>
      </c>
      <c r="L503" s="115" t="str">
        <f>I503&amp;" "&amp;J503</f>
        <v>Pembimbing Pendamping Laporan akhir studi</v>
      </c>
      <c r="M503" s="35"/>
    </row>
    <row r="504" spans="1:14" ht="15" customHeight="1" x14ac:dyDescent="0.45">
      <c r="A504" s="67">
        <v>9</v>
      </c>
      <c r="B504" s="823" t="s">
        <v>899</v>
      </c>
      <c r="C504" s="28" t="s">
        <v>252</v>
      </c>
      <c r="D504" s="28" t="str">
        <f t="shared" si="184"/>
        <v>Lulusan</v>
      </c>
      <c r="E504" s="256">
        <f t="shared" si="182"/>
        <v>1</v>
      </c>
      <c r="F504" s="256">
        <f t="shared" si="185"/>
        <v>0.5</v>
      </c>
      <c r="G504" s="159" t="str">
        <f t="shared" si="186"/>
        <v>1 x 0,5 = 0,5</v>
      </c>
      <c r="H504" s="820" t="s">
        <v>908</v>
      </c>
      <c r="I504" s="36" t="s">
        <v>858</v>
      </c>
      <c r="J504" s="36" t="s">
        <v>890</v>
      </c>
      <c r="K504" s="37">
        <f t="shared" si="188"/>
        <v>0.5</v>
      </c>
      <c r="L504" s="115" t="str">
        <f t="shared" si="183"/>
        <v>Pembimbing Pendamping Laporan akhir studi</v>
      </c>
      <c r="M504" s="35"/>
    </row>
    <row r="505" spans="1:14" ht="15" hidden="1" customHeight="1" x14ac:dyDescent="0.45">
      <c r="A505" s="67">
        <v>10</v>
      </c>
      <c r="B505" s="186" t="s">
        <v>97</v>
      </c>
      <c r="C505" s="28" t="s">
        <v>252</v>
      </c>
      <c r="D505" s="28" t="str">
        <f t="shared" si="184"/>
        <v/>
      </c>
      <c r="E505" s="256" t="str">
        <f t="shared" si="182"/>
        <v/>
      </c>
      <c r="F505" s="256" t="str">
        <f t="shared" si="185"/>
        <v/>
      </c>
      <c r="G505" s="159" t="str">
        <f t="shared" si="186"/>
        <v>rumus</v>
      </c>
      <c r="H505" s="39" t="s">
        <v>66</v>
      </c>
      <c r="I505" s="36"/>
      <c r="J505" s="36"/>
      <c r="K505" s="37" t="str">
        <f>IF(AND(I505&lt;&gt;"",J505&lt;&gt;""),IF(I505="Pembimbing Utama",IF(J505="Disertasi",8,IF(J505="Tesis",3,IF(J505="Skripsi",1,IF(J505="Laporan akhir studi",1,"")))),IF(I505="Pembimbing Pendamping",IF(J505="Disertasi",6,IF(J505="Tesis",2,IF(J505="Skripsi",0.5,IF(J505="Laporan akhir studi",0.5,"")))))),"rumus")</f>
        <v>rumus</v>
      </c>
      <c r="L505" s="115" t="str">
        <f t="shared" si="183"/>
        <v xml:space="preserve"> </v>
      </c>
      <c r="M505" s="35"/>
    </row>
    <row r="506" spans="1:14" x14ac:dyDescent="0.45">
      <c r="A506" s="67"/>
      <c r="B506" s="168" t="str">
        <f>"b. Semester Genap "&amp;IF(C507&lt;&gt;"",C507,"")&amp;" :"</f>
        <v>b. Semester Genap 2016/2017 :</v>
      </c>
      <c r="C506" s="30"/>
      <c r="D506" s="30"/>
      <c r="E506" s="30"/>
      <c r="F506" s="30"/>
      <c r="G506" s="30"/>
      <c r="H506" s="54"/>
      <c r="I506" s="35"/>
      <c r="M506" s="25">
        <f>IF(IF((COUNTIF(L496:L505,"Pembimbing Utama Laporan akhir studi"))&lt;=10,(SUMIF(L496:L505,"Pembimbing Utama Laporan akhir studi",K496:K505)),1*10)+IF((COUNTIF(L496:L505,"Pembimbing Pendamping Laporan akhir studi"))&lt;=10,(SUMIF(L496:L505,"Pembimbing Pendamping Laporan akhir studi",K496:K505)),0.5*10)+IF((COUNTIF(L496:L505,"Pembimbing Utama Skripsi"))&lt;=8,(SUMIF(L496:L505,"Pembimbing Utama Skripsi",K496:K505)),1*8)+IF((COUNTIF(L496:L505,"Pembimbing Pendamping Skripsi"))&lt;=8,(SUMIF(L496:L505,"Pembimbing Pendamping Skripsi",K496:K505)),1*8)+IF((COUNTIF(L496:L505,"Pembimbing Utama Tesis"))&lt;=6,(SUMIF(L496:L505,"Pembimbing Utama Tesis",K496:K505)),3*6)+IF((COUNTIF(L496:L505,"Pembimbing Pendamping Tesis"))&lt;=6,(SUMIF(L496:L505,"Pembimbing Pendamping Tesis",K496:K505)),2*6)+IF((COUNTIF(L496:L505,"Pembimbing Utama Disertasi"))&lt;=4,(SUMIF(L496:L505,"Pembimbing Utama Disertasi",K496:K505)),8*4)+IF((COUNTIF(L496:L505,"Pembimbing Pendamping Disertasi"))&lt;=4,(SUMIF(L496:L505,"Pembimbing Pendamping Disertasi",K496:K505)),6*4)&lt;=32,IF((COUNTIF(L496:L505,"Pembimbing Utama Laporan akhir studi"))&lt;=10,(SUMIF(L496:L505,"Pembimbing Utama Laporan akhir studi",K496:K505)),1*10)+IF((COUNTIF(L496:L505,"Pembimbing Pendamping Laporan akhir studi"))&lt;=10,(SUMIF(L496:L505,"Pembimbing Pendamping Laporan akhir studi",K496:K505)),0.5*10)+IF((COUNTIF(L496:L505,"Pembimbing Utama Skripsi"))&lt;=8,(SUMIF(L496:L505,"Pembimbing Utama Skripsi",K496:K505)),1*8)+IF((COUNTIF(L496:L505,"Pembimbing Pendamping Skripsi"))&lt;=8,(SUMIF(L496:L505,"Pembimbing Pendamping Skripsi",K496:K505)),1*8)+IF((COUNTIF(L496:L505,"Pembimbing Utama Tesis"))&lt;=6,(SUMIF(L496:L505,"Pembimbing Utama Tesis",K496:K505)),3*6)+IF((COUNTIF(L496:L505,"Pembimbing Pendamping Tesis"))&lt;=6,(SUMIF(L496:L505,"Pembimbing Pendamping Tesis",K496:K505)),2*6)+IF((COUNTIF(L496:L505,"Pembimbing Utama Disertasi"))&lt;=4,(SUMIF(L496:L505,"Pembimbing Utama Disertasi",K496:K505)),8*4)+IF((COUNTIF(L496:L505,"Pembimbing Pendamping Disertasi"))&lt;=4,(SUMIF(L496:L505,"Pembimbing Pendamping Disertasi",K496:K505)),6*4),32)</f>
        <v>7.5</v>
      </c>
      <c r="N506" s="33" t="str">
        <f>"Max 32"</f>
        <v>Max 32</v>
      </c>
    </row>
    <row r="507" spans="1:14" x14ac:dyDescent="0.45">
      <c r="A507" s="67">
        <v>1</v>
      </c>
      <c r="B507" s="823" t="s">
        <v>909</v>
      </c>
      <c r="C507" s="28" t="s">
        <v>798</v>
      </c>
      <c r="D507" s="28" t="str">
        <f>IF(G507&lt;&gt;"rumus","Lulusan","")</f>
        <v>Lulusan</v>
      </c>
      <c r="E507" s="256">
        <f t="shared" ref="E507:E516" si="189">IF(I507&lt;&gt;"",1,"")</f>
        <v>1</v>
      </c>
      <c r="F507" s="256">
        <f>IF(I507&lt;&gt;"",K507,"")</f>
        <v>1</v>
      </c>
      <c r="G507" s="159" t="str">
        <f>IF(K507&lt;&gt;"rumus","1 x "&amp;K507&amp;" = "&amp;K507,"rumus")</f>
        <v>1 x 1 = 1</v>
      </c>
      <c r="H507" s="820" t="s">
        <v>912</v>
      </c>
      <c r="I507" s="36" t="s">
        <v>857</v>
      </c>
      <c r="J507" s="36" t="s">
        <v>890</v>
      </c>
      <c r="K507" s="37">
        <f>IF(AND(I507&lt;&gt;"",J507&lt;&gt;""),IF(I507="Pembimbing Utama",IF(J507="Disertasi",8,IF(J507="Tesis",3,IF(J507="Skripsi",1,IF(J507="Laporan akhir studi",1,"")))),IF(I507="Pembimbing Pendamping",IF(J507="Disertasi",6,IF(J507="Tesis",2,IF(J507="Skripsi",0.5,IF(J507="Laporan akhir studi",0.5,"")))))),"rumus")</f>
        <v>1</v>
      </c>
      <c r="L507" s="115" t="str">
        <f>I507&amp;" "&amp;J507</f>
        <v>Pembimbing Utama Laporan akhir studi</v>
      </c>
      <c r="M507" s="35"/>
    </row>
    <row r="508" spans="1:14" x14ac:dyDescent="0.45">
      <c r="A508" s="67">
        <v>2</v>
      </c>
      <c r="B508" s="823" t="s">
        <v>910</v>
      </c>
      <c r="C508" s="28" t="s">
        <v>798</v>
      </c>
      <c r="D508" s="28" t="str">
        <f t="shared" ref="D508:D516" si="190">IF(G508&lt;&gt;"rumus","Lulusan","")</f>
        <v>Lulusan</v>
      </c>
      <c r="E508" s="256">
        <f t="shared" si="189"/>
        <v>1</v>
      </c>
      <c r="F508" s="256">
        <f t="shared" ref="F508:F516" si="191">IF(I508&lt;&gt;"",K508,"")</f>
        <v>1</v>
      </c>
      <c r="G508" s="159" t="str">
        <f t="shared" ref="G508:G516" si="192">IF(K508&lt;&gt;"rumus","1 x "&amp;K508&amp;" = "&amp;K508,"rumus")</f>
        <v>1 x 1 = 1</v>
      </c>
      <c r="H508" s="820" t="s">
        <v>913</v>
      </c>
      <c r="I508" s="36" t="s">
        <v>857</v>
      </c>
      <c r="J508" s="36" t="s">
        <v>890</v>
      </c>
      <c r="K508" s="37">
        <f t="shared" ref="K508" si="193">IF(AND(I508&lt;&gt;"",J508&lt;&gt;""),IF(I508="Pembimbing Utama",IF(J508="Disertasi",8,IF(J508="Tesis",3,IF(J508="Skripsi",1,IF(J508="Laporan akhir studi",1,"")))),IF(I508="Pembimbing Pendamping",IF(J508="Disertasi",6,IF(J508="Tesis",2,IF(J508="Skripsi",0.5,IF(J508="Laporan akhir studi",0.5,"")))))),"rumus")</f>
        <v>1</v>
      </c>
      <c r="L508" s="115" t="str">
        <f t="shared" ref="L508:L516" si="194">I508&amp;" "&amp;J508</f>
        <v>Pembimbing Utama Laporan akhir studi</v>
      </c>
      <c r="M508" s="35"/>
    </row>
    <row r="509" spans="1:14" x14ac:dyDescent="0.45">
      <c r="A509" s="67">
        <v>3</v>
      </c>
      <c r="B509" s="823" t="s">
        <v>911</v>
      </c>
      <c r="C509" s="28" t="s">
        <v>798</v>
      </c>
      <c r="D509" s="28" t="str">
        <f t="shared" si="190"/>
        <v>Lulusan</v>
      </c>
      <c r="E509" s="256">
        <f t="shared" si="189"/>
        <v>1</v>
      </c>
      <c r="F509" s="256">
        <f t="shared" si="191"/>
        <v>1</v>
      </c>
      <c r="G509" s="159" t="str">
        <f t="shared" si="192"/>
        <v>1 x 1 = 1</v>
      </c>
      <c r="H509" s="820" t="s">
        <v>914</v>
      </c>
      <c r="I509" s="36" t="s">
        <v>857</v>
      </c>
      <c r="J509" s="36" t="s">
        <v>890</v>
      </c>
      <c r="K509" s="37">
        <f>IF(AND(I509&lt;&gt;"",J509&lt;&gt;""),IF(I509="Pembimbing Utama",IF(J509="Disertasi",8,IF(J509="Tesis",3,IF(J509="Skripsi",1,IF(J509="Laporan akhir studi",1,"")))),IF(I509="Pembimbing Pendamping",IF(J509="Disertasi",6,IF(J509="Tesis",2,IF(J509="Skripsi",0.5,IF(J509="Laporan akhir studi",0.5,"")))))),"rumus")</f>
        <v>1</v>
      </c>
      <c r="L509" s="115" t="str">
        <f t="shared" si="194"/>
        <v>Pembimbing Utama Laporan akhir studi</v>
      </c>
      <c r="M509" s="35"/>
    </row>
    <row r="510" spans="1:14" hidden="1" x14ac:dyDescent="0.45">
      <c r="A510" s="67">
        <v>4</v>
      </c>
      <c r="B510" s="186" t="s">
        <v>97</v>
      </c>
      <c r="C510" s="28" t="s">
        <v>798</v>
      </c>
      <c r="D510" s="28" t="str">
        <f t="shared" si="190"/>
        <v/>
      </c>
      <c r="E510" s="256" t="str">
        <f t="shared" si="189"/>
        <v/>
      </c>
      <c r="F510" s="256" t="str">
        <f t="shared" si="191"/>
        <v/>
      </c>
      <c r="G510" s="159" t="str">
        <f t="shared" si="192"/>
        <v>rumus</v>
      </c>
      <c r="H510" s="39" t="s">
        <v>66</v>
      </c>
      <c r="I510" s="36"/>
      <c r="J510" s="36"/>
      <c r="K510" s="37" t="str">
        <f>IF(AND(I510&lt;&gt;"",J510&lt;&gt;""),IF(I510="Pembimbing Utama",IF(J510="Disertasi",8,IF(J510="Tesis",3,IF(J510="Skripsi",1,IF(J510="Laporan akhir studi",1,"")))),IF(I510="Pembimbing Pendamping",IF(J510="Disertasi",6,IF(J510="Tesis",2,IF(J510="Skripsi",0.5,IF(J510="Laporan akhir studi",0.5,"")))))),"rumus")</f>
        <v>rumus</v>
      </c>
      <c r="L510" s="115" t="str">
        <f t="shared" si="194"/>
        <v xml:space="preserve"> </v>
      </c>
      <c r="M510" s="35"/>
    </row>
    <row r="511" spans="1:14" hidden="1" x14ac:dyDescent="0.45">
      <c r="A511" s="67">
        <v>5</v>
      </c>
      <c r="B511" s="186" t="s">
        <v>97</v>
      </c>
      <c r="C511" s="28" t="s">
        <v>798</v>
      </c>
      <c r="D511" s="28" t="str">
        <f t="shared" si="190"/>
        <v/>
      </c>
      <c r="E511" s="256" t="str">
        <f t="shared" si="189"/>
        <v/>
      </c>
      <c r="F511" s="256" t="str">
        <f t="shared" si="191"/>
        <v/>
      </c>
      <c r="G511" s="159" t="str">
        <f t="shared" si="192"/>
        <v>rumus</v>
      </c>
      <c r="H511" s="39" t="s">
        <v>66</v>
      </c>
      <c r="I511" s="36"/>
      <c r="J511" s="36"/>
      <c r="K511" s="37" t="str">
        <f t="shared" ref="K511:K515" si="195">IF(AND(I511&lt;&gt;"",J511&lt;&gt;""),IF(I511="Pembimbing Utama",IF(J511="Disertasi",8,IF(J511="Tesis",3,IF(J511="Skripsi",1,IF(J511="Laporan akhir studi",1,"")))),IF(I511="Pembimbing Pendamping",IF(J511="Disertasi",6,IF(J511="Tesis",2,IF(J511="Skripsi",0.5,IF(J511="Laporan akhir studi",0.5,"")))))),"rumus")</f>
        <v>rumus</v>
      </c>
      <c r="L511" s="115" t="str">
        <f t="shared" si="194"/>
        <v xml:space="preserve"> </v>
      </c>
      <c r="M511" s="35"/>
    </row>
    <row r="512" spans="1:14" hidden="1" x14ac:dyDescent="0.45">
      <c r="A512" s="67">
        <v>6</v>
      </c>
      <c r="B512" s="186" t="s">
        <v>97</v>
      </c>
      <c r="C512" s="28" t="s">
        <v>798</v>
      </c>
      <c r="D512" s="28" t="str">
        <f t="shared" si="190"/>
        <v/>
      </c>
      <c r="E512" s="256" t="str">
        <f t="shared" si="189"/>
        <v/>
      </c>
      <c r="F512" s="256" t="str">
        <f t="shared" si="191"/>
        <v/>
      </c>
      <c r="G512" s="159" t="str">
        <f t="shared" si="192"/>
        <v>rumus</v>
      </c>
      <c r="H512" s="39" t="s">
        <v>66</v>
      </c>
      <c r="I512" s="36"/>
      <c r="J512" s="36"/>
      <c r="K512" s="37" t="str">
        <f t="shared" si="195"/>
        <v>rumus</v>
      </c>
      <c r="L512" s="115" t="str">
        <f t="shared" si="194"/>
        <v xml:space="preserve"> </v>
      </c>
      <c r="M512" s="35"/>
    </row>
    <row r="513" spans="1:14" ht="15" hidden="1" customHeight="1" x14ac:dyDescent="0.45">
      <c r="A513" s="67">
        <v>7</v>
      </c>
      <c r="B513" s="186" t="s">
        <v>97</v>
      </c>
      <c r="C513" s="28" t="s">
        <v>798</v>
      </c>
      <c r="D513" s="28" t="str">
        <f t="shared" si="190"/>
        <v/>
      </c>
      <c r="E513" s="256" t="str">
        <f t="shared" si="189"/>
        <v/>
      </c>
      <c r="F513" s="256" t="str">
        <f t="shared" si="191"/>
        <v/>
      </c>
      <c r="G513" s="159" t="str">
        <f t="shared" si="192"/>
        <v>rumus</v>
      </c>
      <c r="H513" s="39" t="s">
        <v>66</v>
      </c>
      <c r="I513" s="36"/>
      <c r="J513" s="36"/>
      <c r="K513" s="37" t="str">
        <f t="shared" si="195"/>
        <v>rumus</v>
      </c>
      <c r="L513" s="115" t="str">
        <f t="shared" si="194"/>
        <v xml:space="preserve"> </v>
      </c>
      <c r="M513" s="35"/>
    </row>
    <row r="514" spans="1:14" ht="15" hidden="1" customHeight="1" x14ac:dyDescent="0.45">
      <c r="A514" s="67">
        <v>8</v>
      </c>
      <c r="B514" s="186" t="s">
        <v>97</v>
      </c>
      <c r="C514" s="28" t="s">
        <v>798</v>
      </c>
      <c r="D514" s="28" t="str">
        <f t="shared" si="190"/>
        <v/>
      </c>
      <c r="E514" s="256" t="str">
        <f t="shared" si="189"/>
        <v/>
      </c>
      <c r="F514" s="256" t="str">
        <f t="shared" si="191"/>
        <v/>
      </c>
      <c r="G514" s="159" t="str">
        <f t="shared" si="192"/>
        <v>rumus</v>
      </c>
      <c r="H514" s="39" t="s">
        <v>66</v>
      </c>
      <c r="I514" s="36"/>
      <c r="J514" s="36"/>
      <c r="K514" s="37" t="str">
        <f t="shared" si="195"/>
        <v>rumus</v>
      </c>
      <c r="L514" s="115" t="str">
        <f t="shared" si="194"/>
        <v xml:space="preserve"> </v>
      </c>
      <c r="M514" s="35"/>
    </row>
    <row r="515" spans="1:14" ht="15" hidden="1" customHeight="1" x14ac:dyDescent="0.45">
      <c r="A515" s="67">
        <v>9</v>
      </c>
      <c r="B515" s="186" t="s">
        <v>97</v>
      </c>
      <c r="C515" s="28" t="s">
        <v>798</v>
      </c>
      <c r="D515" s="28" t="str">
        <f t="shared" si="190"/>
        <v/>
      </c>
      <c r="E515" s="256" t="str">
        <f t="shared" si="189"/>
        <v/>
      </c>
      <c r="F515" s="256" t="str">
        <f t="shared" si="191"/>
        <v/>
      </c>
      <c r="G515" s="159" t="str">
        <f t="shared" si="192"/>
        <v>rumus</v>
      </c>
      <c r="H515" s="39" t="s">
        <v>66</v>
      </c>
      <c r="I515" s="36"/>
      <c r="J515" s="36"/>
      <c r="K515" s="37" t="str">
        <f t="shared" si="195"/>
        <v>rumus</v>
      </c>
      <c r="L515" s="115" t="str">
        <f t="shared" si="194"/>
        <v xml:space="preserve"> </v>
      </c>
      <c r="M515" s="35"/>
    </row>
    <row r="516" spans="1:14" ht="15" hidden="1" customHeight="1" x14ac:dyDescent="0.45">
      <c r="A516" s="67">
        <v>10</v>
      </c>
      <c r="B516" s="186" t="s">
        <v>97</v>
      </c>
      <c r="C516" s="28" t="s">
        <v>798</v>
      </c>
      <c r="D516" s="28" t="str">
        <f t="shared" si="190"/>
        <v/>
      </c>
      <c r="E516" s="256" t="str">
        <f t="shared" si="189"/>
        <v/>
      </c>
      <c r="F516" s="256" t="str">
        <f t="shared" si="191"/>
        <v/>
      </c>
      <c r="G516" s="159" t="str">
        <f t="shared" si="192"/>
        <v>rumus</v>
      </c>
      <c r="H516" s="39" t="s">
        <v>66</v>
      </c>
      <c r="I516" s="36"/>
      <c r="J516" s="36"/>
      <c r="K516" s="37" t="str">
        <f>IF(AND(I516&lt;&gt;"",J516&lt;&gt;""),IF(I516="Pembimbing Utama",IF(J516="Disertasi",8,IF(J516="Tesis",3,IF(J516="Skripsi",1,IF(J516="Laporan akhir studi",1,"")))),IF(I516="Pembimbing Pendamping",IF(J516="Disertasi",6,IF(J516="Tesis",2,IF(J516="Skripsi",0.5,IF(J516="Laporan akhir studi",0.5,"")))))),"rumus")</f>
        <v>rumus</v>
      </c>
      <c r="L516" s="115" t="str">
        <f t="shared" si="194"/>
        <v xml:space="preserve"> </v>
      </c>
      <c r="M516" s="35"/>
    </row>
    <row r="517" spans="1:14" hidden="1" x14ac:dyDescent="0.45">
      <c r="A517" s="67"/>
      <c r="B517" s="168" t="str">
        <f>"b. Semester Genap "&amp;IF(C518&lt;&gt;"",C518,"")&amp;" :"</f>
        <v>b. Semester Genap 2017/2018 :</v>
      </c>
      <c r="C517" s="30"/>
      <c r="D517" s="30"/>
      <c r="E517" s="30"/>
      <c r="F517" s="30"/>
      <c r="G517" s="30"/>
      <c r="H517" s="54"/>
      <c r="I517" s="35"/>
      <c r="M517" s="25">
        <f>IF(IF((COUNTIF(L507:L516,"Pembimbing Utama Laporan akhir studi"))&lt;=10,(SUMIF(L507:L516,"Pembimbing Utama Laporan akhir studi",K507:K516)),1*10)+IF((COUNTIF(L507:L516,"Pembimbing Pendamping Laporan akhir studi"))&lt;=10,(SUMIF(L507:L516,"Pembimbing Pendamping Laporan akhir studi",K507:K516)),0.5*10)+IF((COUNTIF(L507:L516,"Pembimbing Utama Skripsi"))&lt;=8,(SUMIF(L507:L516,"Pembimbing Utama Skripsi",K507:K516)),1*8)+IF((COUNTIF(L507:L516,"Pembimbing Pendamping Skripsi"))&lt;=8,(SUMIF(L507:L516,"Pembimbing Pendamping Skripsi",K507:K516)),1*8)+IF((COUNTIF(L507:L516,"Pembimbing Utama Tesis"))&lt;=6,(SUMIF(L507:L516,"Pembimbing Utama Tesis",K507:K516)),3*6)+IF((COUNTIF(L507:L516,"Pembimbing Pendamping Tesis"))&lt;=6,(SUMIF(L507:L516,"Pembimbing Pendamping Tesis",K507:K516)),2*6)+IF((COUNTIF(L507:L516,"Pembimbing Utama Disertasi"))&lt;=4,(SUMIF(L507:L516,"Pembimbing Utama Disertasi",K507:K516)),8*4)+IF((COUNTIF(L507:L516,"Pembimbing Pendamping Disertasi"))&lt;=4,(SUMIF(L507:L516,"Pembimbing Pendamping Disertasi",K507:K516)),6*4)&lt;=32,IF((COUNTIF(L507:L516,"Pembimbing Utama Laporan akhir studi"))&lt;=10,(SUMIF(L507:L516,"Pembimbing Utama Laporan akhir studi",K507:K516)),1*10)+IF((COUNTIF(L507:L516,"Pembimbing Pendamping Laporan akhir studi"))&lt;=10,(SUMIF(L507:L516,"Pembimbing Pendamping Laporan akhir studi",K507:K516)),0.5*10)+IF((COUNTIF(L507:L516,"Pembimbing Utama Skripsi"))&lt;=8,(SUMIF(L507:L516,"Pembimbing Utama Skripsi",K507:K516)),1*8)+IF((COUNTIF(L507:L516,"Pembimbing Pendamping Skripsi"))&lt;=8,(SUMIF(L507:L516,"Pembimbing Pendamping Skripsi",K507:K516)),1*8)+IF((COUNTIF(L507:L516,"Pembimbing Utama Tesis"))&lt;=6,(SUMIF(L507:L516,"Pembimbing Utama Tesis",K507:K516)),3*6)+IF((COUNTIF(L507:L516,"Pembimbing Pendamping Tesis"))&lt;=6,(SUMIF(L507:L516,"Pembimbing Pendamping Tesis",K507:K516)),2*6)+IF((COUNTIF(L507:L516,"Pembimbing Utama Disertasi"))&lt;=4,(SUMIF(L507:L516,"Pembimbing Utama Disertasi",K507:K516)),8*4)+IF((COUNTIF(L507:L516,"Pembimbing Pendamping Disertasi"))&lt;=4,(SUMIF(L507:L516,"Pembimbing Pendamping Disertasi",K507:K516)),6*4),32)</f>
        <v>3</v>
      </c>
      <c r="N517" s="33" t="str">
        <f>"Max 32"</f>
        <v>Max 32</v>
      </c>
    </row>
    <row r="518" spans="1:14" hidden="1" x14ac:dyDescent="0.45">
      <c r="A518" s="67">
        <v>1</v>
      </c>
      <c r="B518" s="186" t="s">
        <v>97</v>
      </c>
      <c r="C518" s="28" t="s">
        <v>795</v>
      </c>
      <c r="D518" s="28" t="str">
        <f>IF(G518&lt;&gt;"rumus","Lulusan","")</f>
        <v/>
      </c>
      <c r="E518" s="256" t="str">
        <f t="shared" ref="E518:E527" si="196">IF(I518&lt;&gt;"",1,"")</f>
        <v/>
      </c>
      <c r="F518" s="256" t="str">
        <f>IF(I518&lt;&gt;"",K518,"")</f>
        <v/>
      </c>
      <c r="G518" s="159" t="str">
        <f>IF(K518&lt;&gt;"rumus","1 x "&amp;K518&amp;" = "&amp;K518,"rumus")</f>
        <v>rumus</v>
      </c>
      <c r="H518" s="28" t="s">
        <v>620</v>
      </c>
      <c r="I518" s="36"/>
      <c r="J518" s="36"/>
      <c r="K518" s="37" t="str">
        <f>IF(AND(I518&lt;&gt;"",J518&lt;&gt;""),IF(I518="Pembimbing Utama",IF(J518="Disertasi",8,IF(J518="Tesis",3,IF(J518="Skripsi",1,IF(J518="Laporan akhir studi",1,"")))),IF(I518="Pembimbing Pendamping",IF(J518="Disertasi",6,IF(J518="Tesis",2,IF(J518="Skripsi",0.5,IF(J518="Laporan akhir studi",0.5,"")))))),"rumus")</f>
        <v>rumus</v>
      </c>
      <c r="L518" s="115" t="str">
        <f t="shared" ref="L518:L527" si="197">I518&amp;" "&amp;J518</f>
        <v xml:space="preserve"> </v>
      </c>
      <c r="M518" s="35"/>
    </row>
    <row r="519" spans="1:14" hidden="1" x14ac:dyDescent="0.45">
      <c r="A519" s="67">
        <v>2</v>
      </c>
      <c r="B519" s="186" t="s">
        <v>97</v>
      </c>
      <c r="C519" s="28" t="s">
        <v>795</v>
      </c>
      <c r="D519" s="28" t="str">
        <f t="shared" ref="D519:D527" si="198">IF(G519&lt;&gt;"rumus","Lulusan","")</f>
        <v/>
      </c>
      <c r="E519" s="256" t="str">
        <f t="shared" si="196"/>
        <v/>
      </c>
      <c r="F519" s="256" t="str">
        <f t="shared" ref="F519:F527" si="199">IF(I519&lt;&gt;"",K519,"")</f>
        <v/>
      </c>
      <c r="G519" s="159" t="str">
        <f t="shared" ref="G519:G527" si="200">IF(K519&lt;&gt;"rumus","1 x "&amp;K519&amp;" = "&amp;K519,"rumus")</f>
        <v>rumus</v>
      </c>
      <c r="H519" s="39" t="s">
        <v>66</v>
      </c>
      <c r="I519" s="36"/>
      <c r="J519" s="36"/>
      <c r="K519" s="37" t="str">
        <f t="shared" ref="K519" si="201">IF(AND(I519&lt;&gt;"",J519&lt;&gt;""),IF(I519="Pembimbing Utama",IF(J519="Disertasi",8,IF(J519="Tesis",3,IF(J519="Skripsi",1,IF(J519="Laporan akhir studi",1,"")))),IF(I519="Pembimbing Pendamping",IF(J519="Disertasi",6,IF(J519="Tesis",2,IF(J519="Skripsi",0.5,IF(J519="Laporan akhir studi",0.5,"")))))),"rumus")</f>
        <v>rumus</v>
      </c>
      <c r="L519" s="115" t="str">
        <f t="shared" si="197"/>
        <v xml:space="preserve"> </v>
      </c>
      <c r="M519" s="35"/>
    </row>
    <row r="520" spans="1:14" hidden="1" x14ac:dyDescent="0.45">
      <c r="A520" s="67">
        <v>3</v>
      </c>
      <c r="B520" s="186" t="s">
        <v>97</v>
      </c>
      <c r="C520" s="28" t="s">
        <v>795</v>
      </c>
      <c r="D520" s="28" t="str">
        <f t="shared" si="198"/>
        <v/>
      </c>
      <c r="E520" s="256" t="str">
        <f t="shared" si="196"/>
        <v/>
      </c>
      <c r="F520" s="256" t="str">
        <f t="shared" si="199"/>
        <v/>
      </c>
      <c r="G520" s="159" t="str">
        <f t="shared" si="200"/>
        <v>rumus</v>
      </c>
      <c r="H520" s="39" t="s">
        <v>66</v>
      </c>
      <c r="I520" s="36"/>
      <c r="J520" s="36"/>
      <c r="K520" s="37" t="str">
        <f>IF(AND(I520&lt;&gt;"",J520&lt;&gt;""),IF(I520="Pembimbing Utama",IF(J520="Disertasi",8,IF(J520="Tesis",3,IF(J520="Skripsi",1,IF(J520="Laporan akhir studi",1,"")))),IF(I520="Pembimbing Pendamping",IF(J520="Disertasi",6,IF(J520="Tesis",2,IF(J520="Skripsi",0.5,IF(J520="Laporan akhir studi",0.5,"")))))),"rumus")</f>
        <v>rumus</v>
      </c>
      <c r="L520" s="115" t="str">
        <f t="shared" si="197"/>
        <v xml:space="preserve"> </v>
      </c>
      <c r="M520" s="35"/>
    </row>
    <row r="521" spans="1:14" hidden="1" x14ac:dyDescent="0.45">
      <c r="A521" s="67">
        <v>4</v>
      </c>
      <c r="B521" s="186" t="s">
        <v>97</v>
      </c>
      <c r="C521" s="28" t="s">
        <v>795</v>
      </c>
      <c r="D521" s="28" t="str">
        <f t="shared" si="198"/>
        <v/>
      </c>
      <c r="E521" s="256" t="str">
        <f t="shared" si="196"/>
        <v/>
      </c>
      <c r="F521" s="256" t="str">
        <f t="shared" si="199"/>
        <v/>
      </c>
      <c r="G521" s="159" t="str">
        <f t="shared" si="200"/>
        <v>rumus</v>
      </c>
      <c r="H521" s="39" t="s">
        <v>66</v>
      </c>
      <c r="I521" s="36"/>
      <c r="J521" s="36"/>
      <c r="K521" s="37" t="str">
        <f>IF(AND(I521&lt;&gt;"",J521&lt;&gt;""),IF(I521="Pembimbing Utama",IF(J521="Disertasi",8,IF(J521="Tesis",3,IF(J521="Skripsi",1,IF(J521="Laporan akhir studi",1,"")))),IF(I521="Pembimbing Pendamping",IF(J521="Disertasi",6,IF(J521="Tesis",2,IF(J521="Skripsi",0.5,IF(J521="Laporan akhir studi",0.5,"")))))),"rumus")</f>
        <v>rumus</v>
      </c>
      <c r="L521" s="115" t="str">
        <f t="shared" si="197"/>
        <v xml:space="preserve"> </v>
      </c>
      <c r="M521" s="35"/>
    </row>
    <row r="522" spans="1:14" hidden="1" x14ac:dyDescent="0.45">
      <c r="A522" s="67">
        <v>5</v>
      </c>
      <c r="B522" s="186" t="s">
        <v>97</v>
      </c>
      <c r="C522" s="28" t="s">
        <v>795</v>
      </c>
      <c r="D522" s="28" t="str">
        <f t="shared" si="198"/>
        <v/>
      </c>
      <c r="E522" s="256" t="str">
        <f t="shared" si="196"/>
        <v/>
      </c>
      <c r="F522" s="256" t="str">
        <f t="shared" si="199"/>
        <v/>
      </c>
      <c r="G522" s="159" t="str">
        <f t="shared" si="200"/>
        <v>rumus</v>
      </c>
      <c r="H522" s="39" t="s">
        <v>66</v>
      </c>
      <c r="I522" s="36"/>
      <c r="J522" s="36"/>
      <c r="K522" s="37" t="str">
        <f t="shared" ref="K522:K526" si="202">IF(AND(I522&lt;&gt;"",J522&lt;&gt;""),IF(I522="Pembimbing Utama",IF(J522="Disertasi",8,IF(J522="Tesis",3,IF(J522="Skripsi",1,IF(J522="Laporan akhir studi",1,"")))),IF(I522="Pembimbing Pendamping",IF(J522="Disertasi",6,IF(J522="Tesis",2,IF(J522="Skripsi",0.5,IF(J522="Laporan akhir studi",0.5,"")))))),"rumus")</f>
        <v>rumus</v>
      </c>
      <c r="L522" s="115" t="str">
        <f t="shared" si="197"/>
        <v xml:space="preserve"> </v>
      </c>
      <c r="M522" s="35"/>
    </row>
    <row r="523" spans="1:14" hidden="1" x14ac:dyDescent="0.45">
      <c r="A523" s="67">
        <v>6</v>
      </c>
      <c r="B523" s="186" t="s">
        <v>97</v>
      </c>
      <c r="C523" s="28" t="s">
        <v>795</v>
      </c>
      <c r="D523" s="28" t="str">
        <f t="shared" si="198"/>
        <v/>
      </c>
      <c r="E523" s="256" t="str">
        <f t="shared" si="196"/>
        <v/>
      </c>
      <c r="F523" s="256" t="str">
        <f t="shared" si="199"/>
        <v/>
      </c>
      <c r="G523" s="159" t="str">
        <f t="shared" si="200"/>
        <v>rumus</v>
      </c>
      <c r="H523" s="39" t="s">
        <v>66</v>
      </c>
      <c r="I523" s="36"/>
      <c r="J523" s="36"/>
      <c r="K523" s="37" t="str">
        <f t="shared" si="202"/>
        <v>rumus</v>
      </c>
      <c r="L523" s="115" t="str">
        <f t="shared" si="197"/>
        <v xml:space="preserve"> </v>
      </c>
      <c r="M523" s="35"/>
    </row>
    <row r="524" spans="1:14" ht="15" hidden="1" customHeight="1" x14ac:dyDescent="0.45">
      <c r="A524" s="67">
        <v>7</v>
      </c>
      <c r="B524" s="186" t="s">
        <v>97</v>
      </c>
      <c r="C524" s="28" t="s">
        <v>795</v>
      </c>
      <c r="D524" s="28" t="str">
        <f t="shared" si="198"/>
        <v/>
      </c>
      <c r="E524" s="256" t="str">
        <f t="shared" si="196"/>
        <v/>
      </c>
      <c r="F524" s="256" t="str">
        <f t="shared" si="199"/>
        <v/>
      </c>
      <c r="G524" s="159" t="str">
        <f t="shared" si="200"/>
        <v>rumus</v>
      </c>
      <c r="H524" s="39" t="s">
        <v>66</v>
      </c>
      <c r="I524" s="36"/>
      <c r="J524" s="36"/>
      <c r="K524" s="37" t="str">
        <f t="shared" si="202"/>
        <v>rumus</v>
      </c>
      <c r="L524" s="115" t="str">
        <f t="shared" si="197"/>
        <v xml:space="preserve"> </v>
      </c>
      <c r="M524" s="35"/>
    </row>
    <row r="525" spans="1:14" ht="15" hidden="1" customHeight="1" x14ac:dyDescent="0.45">
      <c r="A525" s="67">
        <v>8</v>
      </c>
      <c r="B525" s="186" t="s">
        <v>97</v>
      </c>
      <c r="C525" s="28" t="s">
        <v>795</v>
      </c>
      <c r="D525" s="28" t="str">
        <f t="shared" si="198"/>
        <v/>
      </c>
      <c r="E525" s="256" t="str">
        <f t="shared" si="196"/>
        <v/>
      </c>
      <c r="F525" s="256" t="str">
        <f t="shared" si="199"/>
        <v/>
      </c>
      <c r="G525" s="159" t="str">
        <f t="shared" si="200"/>
        <v>rumus</v>
      </c>
      <c r="H525" s="39" t="s">
        <v>66</v>
      </c>
      <c r="I525" s="36"/>
      <c r="J525" s="36"/>
      <c r="K525" s="37" t="str">
        <f t="shared" si="202"/>
        <v>rumus</v>
      </c>
      <c r="L525" s="115" t="str">
        <f t="shared" si="197"/>
        <v xml:space="preserve"> </v>
      </c>
      <c r="M525" s="35"/>
    </row>
    <row r="526" spans="1:14" ht="15" hidden="1" customHeight="1" x14ac:dyDescent="0.45">
      <c r="A526" s="67">
        <v>9</v>
      </c>
      <c r="B526" s="186" t="s">
        <v>97</v>
      </c>
      <c r="C526" s="28" t="s">
        <v>795</v>
      </c>
      <c r="D526" s="28" t="str">
        <f t="shared" si="198"/>
        <v/>
      </c>
      <c r="E526" s="256" t="str">
        <f t="shared" si="196"/>
        <v/>
      </c>
      <c r="F526" s="256" t="str">
        <f t="shared" si="199"/>
        <v/>
      </c>
      <c r="G526" s="159" t="str">
        <f t="shared" si="200"/>
        <v>rumus</v>
      </c>
      <c r="H526" s="39" t="s">
        <v>66</v>
      </c>
      <c r="I526" s="36"/>
      <c r="J526" s="36"/>
      <c r="K526" s="37" t="str">
        <f t="shared" si="202"/>
        <v>rumus</v>
      </c>
      <c r="L526" s="115" t="str">
        <f t="shared" si="197"/>
        <v xml:space="preserve"> </v>
      </c>
      <c r="M526" s="35"/>
    </row>
    <row r="527" spans="1:14" ht="15" hidden="1" customHeight="1" x14ac:dyDescent="0.45">
      <c r="A527" s="67">
        <v>10</v>
      </c>
      <c r="B527" s="186" t="s">
        <v>97</v>
      </c>
      <c r="C527" s="28" t="s">
        <v>795</v>
      </c>
      <c r="D527" s="28" t="str">
        <f t="shared" si="198"/>
        <v/>
      </c>
      <c r="E527" s="256" t="str">
        <f t="shared" si="196"/>
        <v/>
      </c>
      <c r="F527" s="256" t="str">
        <f t="shared" si="199"/>
        <v/>
      </c>
      <c r="G527" s="159" t="str">
        <f t="shared" si="200"/>
        <v>rumus</v>
      </c>
      <c r="H527" s="39" t="s">
        <v>66</v>
      </c>
      <c r="I527" s="36"/>
      <c r="J527" s="36"/>
      <c r="K527" s="37" t="str">
        <f>IF(AND(I527&lt;&gt;"",J527&lt;&gt;""),IF(I527="Pembimbing Utama",IF(J527="Disertasi",8,IF(J527="Tesis",3,IF(J527="Skripsi",1,IF(J527="Laporan akhir studi",1,"")))),IF(I527="Pembimbing Pendamping",IF(J527="Disertasi",6,IF(J527="Tesis",2,IF(J527="Skripsi",0.5,IF(J527="Laporan akhir studi",0.5,"")))))),"rumus")</f>
        <v>rumus</v>
      </c>
      <c r="L527" s="115" t="str">
        <f t="shared" si="197"/>
        <v xml:space="preserve"> </v>
      </c>
      <c r="M527" s="35"/>
    </row>
    <row r="528" spans="1:14" x14ac:dyDescent="0.45">
      <c r="A528" s="67"/>
      <c r="B528" s="968" t="s">
        <v>67</v>
      </c>
      <c r="C528" s="969"/>
      <c r="D528" s="970"/>
      <c r="E528" s="248"/>
      <c r="F528" s="252"/>
      <c r="G528" s="61">
        <f>SUM(M265:M528)</f>
        <v>11</v>
      </c>
      <c r="H528" s="14"/>
      <c r="I528" s="35"/>
      <c r="J528" s="35"/>
      <c r="K528" s="25"/>
      <c r="L528" s="35"/>
      <c r="M528" s="25">
        <f>IF(IF((COUNTIF(L518:L527,"Pembimbing Utama Laporan akhir studi"))&lt;=10,(SUMIF(L518:L527,"Pembimbing Utama Laporan akhir studi",K518:K527)),1*10)+IF((COUNTIF(L518:L527,"Pembimbing Pendamping Laporan akhir studi"))&lt;=10,(SUMIF(L518:L527,"Pembimbing Pendamping Laporan akhir studi",K518:K527)),0.5*10)+IF((COUNTIF(L518:L527,"Pembimbing Utama Skripsi"))&lt;=8,(SUMIF(L518:L527,"Pembimbing Utama Skripsi",K518:K527)),1*8)+IF((COUNTIF(L518:L527,"Pembimbing Pendamping Skripsi"))&lt;=8,(SUMIF(L518:L527,"Pembimbing Pendamping Skripsi",K518:K527)),1*8)+IF((COUNTIF(L518:L527,"Pembimbing Utama Tesis"))&lt;=6,(SUMIF(L518:L527,"Pembimbing Utama Tesis",K518:K527)),3*6)+IF((COUNTIF(L518:L527,"Pembimbing Pendamping Tesis"))&lt;=6,(SUMIF(L518:L527,"Pembimbing Pendamping Tesis",K518:K527)),2*6)+IF((COUNTIF(L518:L527,"Pembimbing Utama Disertasi"))&lt;=4,(SUMIF(L518:L527,"Pembimbing Utama Disertasi",K518:K527)),8*4)+IF((COUNTIF(L518:L527,"Pembimbing Pendamping Disertasi"))&lt;=4,(SUMIF(L518:L527,"Pembimbing Pendamping Disertasi",K518:K527)),6*4)&lt;=32,IF((COUNTIF(L518:L527,"Pembimbing Utama Laporan akhir studi"))&lt;=10,(SUMIF(L518:L527,"Pembimbing Utama Laporan akhir studi",K518:K527)),1*10)+IF((COUNTIF(L518:L527,"Pembimbing Pendamping Laporan akhir studi"))&lt;=10,(SUMIF(L518:L527,"Pembimbing Pendamping Laporan akhir studi",K518:K527)),0.5*10)+IF((COUNTIF(L518:L527,"Pembimbing Utama Skripsi"))&lt;=8,(SUMIF(L518:L527,"Pembimbing Utama Skripsi",K518:K527)),1*8)+IF((COUNTIF(L518:L527,"Pembimbing Pendamping Skripsi"))&lt;=8,(SUMIF(L518:L527,"Pembimbing Pendamping Skripsi",K518:K527)),1*8)+IF((COUNTIF(L518:L527,"Pembimbing Utama Tesis"))&lt;=6,(SUMIF(L518:L527,"Pembimbing Utama Tesis",K518:K527)),3*6)+IF((COUNTIF(L518:L527,"Pembimbing Pendamping Tesis"))&lt;=6,(SUMIF(L518:L527,"Pembimbing Pendamping Tesis",K518:K527)),2*6)+IF((COUNTIF(L518:L527,"Pembimbing Utama Disertasi"))&lt;=4,(SUMIF(L518:L527,"Pembimbing Utama Disertasi",K518:K527)),8*4)+IF((COUNTIF(L518:L527,"Pembimbing Pendamping Disertasi"))&lt;=4,(SUMIF(L518:L527,"Pembimbing Pendamping Disertasi",K518:K527)),6*4),32)</f>
        <v>0</v>
      </c>
      <c r="N528" s="33" t="str">
        <f>"Max 32"</f>
        <v>Max 32</v>
      </c>
    </row>
    <row r="529" spans="1:14" ht="15" customHeight="1" x14ac:dyDescent="0.45">
      <c r="A529" s="85" t="s">
        <v>120</v>
      </c>
      <c r="B529" s="22" t="s">
        <v>19</v>
      </c>
      <c r="C529" s="30"/>
      <c r="D529" s="30"/>
      <c r="E529" s="30"/>
      <c r="F529" s="30"/>
      <c r="G529" s="30"/>
      <c r="H529" s="54"/>
      <c r="I529" s="35"/>
      <c r="J529" s="35"/>
      <c r="K529" s="35"/>
      <c r="L529" s="35"/>
      <c r="M529" s="35"/>
    </row>
    <row r="530" spans="1:14" ht="15" hidden="1" customHeight="1" x14ac:dyDescent="0.45">
      <c r="A530" s="67"/>
      <c r="B530" s="168" t="str">
        <f>"a. Semester Gasal "&amp;IF(C531&lt;&gt;"",C531,"")&amp;" :"</f>
        <v>a. Semester Gasal 2004/2005 :</v>
      </c>
      <c r="C530" s="57"/>
      <c r="D530" s="57"/>
      <c r="E530" s="57"/>
      <c r="F530" s="57"/>
      <c r="G530" s="57"/>
      <c r="H530" s="58"/>
      <c r="I530" s="35"/>
      <c r="J530" s="35"/>
      <c r="K530" s="35"/>
      <c r="L530" s="35"/>
      <c r="M530" t="s">
        <v>453</v>
      </c>
      <c r="N530" t="s">
        <v>440</v>
      </c>
    </row>
    <row r="531" spans="1:14" ht="15" hidden="1" customHeight="1" x14ac:dyDescent="0.45">
      <c r="A531" s="67">
        <v>1</v>
      </c>
      <c r="B531" s="186" t="s">
        <v>97</v>
      </c>
      <c r="C531" s="28" t="s">
        <v>141</v>
      </c>
      <c r="D531" s="28" t="str">
        <f t="shared" ref="D531" si="203">IF(G531&lt;&gt;"rumus","Lulusan","")</f>
        <v/>
      </c>
      <c r="E531" s="256" t="str">
        <f t="shared" ref="E531" si="204">IF(I531&lt;&gt;"",1,"")</f>
        <v/>
      </c>
      <c r="F531" s="256" t="str">
        <f>IF(I531&lt;&gt;"",J531,"")</f>
        <v/>
      </c>
      <c r="G531" s="159" t="str">
        <f>IF(J531&lt;&gt;"rumus","1 x "&amp;J531&amp;" = "&amp;J531,"rumus")</f>
        <v>rumus</v>
      </c>
      <c r="H531" s="28" t="s">
        <v>620</v>
      </c>
      <c r="I531" s="38"/>
      <c r="J531" s="37" t="str">
        <f>IF(I531&lt;&gt;"",IF(I531="Ketua Penguji",1,IF(I531="Anggota Penguji",0.5,"")),"rumus")</f>
        <v>rumus</v>
      </c>
      <c r="K531" s="35"/>
      <c r="L531" s="35"/>
      <c r="M531" s="35"/>
    </row>
    <row r="532" spans="1:14" ht="15" hidden="1" customHeight="1" x14ac:dyDescent="0.45">
      <c r="A532" s="67">
        <v>2</v>
      </c>
      <c r="B532" s="186" t="s">
        <v>97</v>
      </c>
      <c r="C532" s="28" t="s">
        <v>141</v>
      </c>
      <c r="D532" s="28" t="str">
        <f t="shared" ref="D532:D538" si="205">IF(G532&lt;&gt;"rumus","Lulusan","")</f>
        <v/>
      </c>
      <c r="E532" s="256" t="str">
        <f t="shared" ref="E532:E538" si="206">IF(I532&lt;&gt;"",1,"")</f>
        <v/>
      </c>
      <c r="F532" s="256" t="str">
        <f t="shared" ref="F532:F538" si="207">IF(I532&lt;&gt;"",J532,"")</f>
        <v/>
      </c>
      <c r="G532" s="159" t="str">
        <f t="shared" ref="G532:G540" si="208">IF(J532&lt;&gt;"rumus","1 x "&amp;J532&amp;" = "&amp;J532,"rumus")</f>
        <v>rumus</v>
      </c>
      <c r="H532" s="39" t="s">
        <v>66</v>
      </c>
      <c r="I532" s="38"/>
      <c r="J532" s="37" t="str">
        <f t="shared" ref="J532" si="209">IF(I532&lt;&gt;"",IF(I532="Ketua Penguji",1,IF(I532="Anggota Penguji",0.5,"")),"rumus")</f>
        <v>rumus</v>
      </c>
      <c r="K532" s="35"/>
      <c r="L532" s="35"/>
      <c r="M532" s="35"/>
    </row>
    <row r="533" spans="1:14" ht="15" hidden="1" customHeight="1" x14ac:dyDescent="0.45">
      <c r="A533" s="67">
        <v>3</v>
      </c>
      <c r="B533" s="186" t="s">
        <v>97</v>
      </c>
      <c r="C533" s="28" t="s">
        <v>141</v>
      </c>
      <c r="D533" s="28" t="str">
        <f t="shared" si="205"/>
        <v/>
      </c>
      <c r="E533" s="256" t="str">
        <f t="shared" si="206"/>
        <v/>
      </c>
      <c r="F533" s="256" t="str">
        <f t="shared" si="207"/>
        <v/>
      </c>
      <c r="G533" s="159" t="str">
        <f t="shared" si="208"/>
        <v>rumus</v>
      </c>
      <c r="H533" s="39" t="s">
        <v>66</v>
      </c>
      <c r="I533" s="38"/>
      <c r="J533" s="37" t="str">
        <f>IF(I533&lt;&gt;"",IF(I533="Ketua Penguji",1,IF(I533="Anggota Penguji",0.5,"")),"rumus")</f>
        <v>rumus</v>
      </c>
      <c r="K533" s="35"/>
      <c r="L533" s="35"/>
      <c r="M533" s="35"/>
    </row>
    <row r="534" spans="1:14" ht="15" hidden="1" customHeight="1" x14ac:dyDescent="0.45">
      <c r="A534" s="67">
        <v>4</v>
      </c>
      <c r="B534" s="186" t="s">
        <v>97</v>
      </c>
      <c r="C534" s="28" t="s">
        <v>141</v>
      </c>
      <c r="D534" s="28" t="str">
        <f t="shared" si="205"/>
        <v/>
      </c>
      <c r="E534" s="256" t="str">
        <f t="shared" si="206"/>
        <v/>
      </c>
      <c r="F534" s="256" t="str">
        <f t="shared" si="207"/>
        <v/>
      </c>
      <c r="G534" s="159" t="str">
        <f t="shared" si="208"/>
        <v>rumus</v>
      </c>
      <c r="H534" s="39" t="s">
        <v>66</v>
      </c>
      <c r="I534" s="38"/>
      <c r="J534" s="37" t="str">
        <f t="shared" ref="J534" si="210">IF(I534&lt;&gt;"",IF(I534="Ketua Penguji",1,IF(I534="Anggota Penguji",0.5,"")),"rumus")</f>
        <v>rumus</v>
      </c>
      <c r="K534" s="35"/>
      <c r="L534" s="35"/>
      <c r="M534" s="35"/>
    </row>
    <row r="535" spans="1:14" ht="15" hidden="1" customHeight="1" x14ac:dyDescent="0.45">
      <c r="A535" s="67">
        <v>5</v>
      </c>
      <c r="B535" s="186" t="s">
        <v>97</v>
      </c>
      <c r="C535" s="28" t="s">
        <v>141</v>
      </c>
      <c r="D535" s="28" t="str">
        <f t="shared" si="205"/>
        <v/>
      </c>
      <c r="E535" s="256" t="str">
        <f t="shared" si="206"/>
        <v/>
      </c>
      <c r="F535" s="256" t="str">
        <f t="shared" si="207"/>
        <v/>
      </c>
      <c r="G535" s="159" t="str">
        <f t="shared" si="208"/>
        <v>rumus</v>
      </c>
      <c r="H535" s="39" t="s">
        <v>66</v>
      </c>
      <c r="I535" s="38"/>
      <c r="J535" s="37" t="str">
        <f t="shared" ref="J535:J538" si="211">IF(I535&lt;&gt;"",IF(I535="Ketua Penguji",1,IF(I535="Anggota Penguji",0.5,"")),"rumus")</f>
        <v>rumus</v>
      </c>
      <c r="K535" s="35"/>
      <c r="L535" s="35"/>
      <c r="M535" s="35"/>
    </row>
    <row r="536" spans="1:14" ht="15" hidden="1" customHeight="1" x14ac:dyDescent="0.45">
      <c r="A536" s="67">
        <v>6</v>
      </c>
      <c r="B536" s="186" t="s">
        <v>97</v>
      </c>
      <c r="C536" s="28" t="s">
        <v>141</v>
      </c>
      <c r="D536" s="28" t="str">
        <f t="shared" si="205"/>
        <v/>
      </c>
      <c r="E536" s="256" t="str">
        <f t="shared" si="206"/>
        <v/>
      </c>
      <c r="F536" s="256" t="str">
        <f t="shared" si="207"/>
        <v/>
      </c>
      <c r="G536" s="159" t="str">
        <f t="shared" si="208"/>
        <v>rumus</v>
      </c>
      <c r="H536" s="39" t="s">
        <v>66</v>
      </c>
      <c r="I536" s="38"/>
      <c r="J536" s="37" t="str">
        <f t="shared" si="211"/>
        <v>rumus</v>
      </c>
      <c r="K536" s="35"/>
      <c r="L536" s="35"/>
      <c r="M536" s="35"/>
    </row>
    <row r="537" spans="1:14" ht="15" hidden="1" customHeight="1" x14ac:dyDescent="0.45">
      <c r="A537" s="67">
        <v>7</v>
      </c>
      <c r="B537" s="186" t="s">
        <v>97</v>
      </c>
      <c r="C537" s="28" t="s">
        <v>141</v>
      </c>
      <c r="D537" s="28" t="str">
        <f t="shared" si="205"/>
        <v/>
      </c>
      <c r="E537" s="256" t="str">
        <f t="shared" si="206"/>
        <v/>
      </c>
      <c r="F537" s="256" t="str">
        <f t="shared" si="207"/>
        <v/>
      </c>
      <c r="G537" s="159" t="str">
        <f t="shared" si="208"/>
        <v>rumus</v>
      </c>
      <c r="H537" s="39" t="s">
        <v>66</v>
      </c>
      <c r="I537" s="38"/>
      <c r="J537" s="37" t="str">
        <f t="shared" si="211"/>
        <v>rumus</v>
      </c>
      <c r="K537" s="35"/>
      <c r="L537" s="35"/>
      <c r="M537" s="35"/>
    </row>
    <row r="538" spans="1:14" ht="15" hidden="1" customHeight="1" x14ac:dyDescent="0.45">
      <c r="A538" s="67">
        <v>8</v>
      </c>
      <c r="B538" s="186" t="s">
        <v>97</v>
      </c>
      <c r="C538" s="28" t="s">
        <v>141</v>
      </c>
      <c r="D538" s="28" t="str">
        <f t="shared" si="205"/>
        <v/>
      </c>
      <c r="E538" s="256" t="str">
        <f t="shared" si="206"/>
        <v/>
      </c>
      <c r="F538" s="256" t="str">
        <f t="shared" si="207"/>
        <v/>
      </c>
      <c r="G538" s="159" t="str">
        <f t="shared" si="208"/>
        <v>rumus</v>
      </c>
      <c r="H538" s="39" t="s">
        <v>66</v>
      </c>
      <c r="I538" s="38"/>
      <c r="J538" s="37" t="str">
        <f t="shared" si="211"/>
        <v>rumus</v>
      </c>
      <c r="K538" s="35"/>
      <c r="L538" s="35"/>
      <c r="M538" s="35"/>
    </row>
    <row r="539" spans="1:14" ht="15" hidden="1" customHeight="1" x14ac:dyDescent="0.45">
      <c r="A539" s="67">
        <v>9</v>
      </c>
      <c r="B539" s="199" t="s">
        <v>97</v>
      </c>
      <c r="C539" s="28" t="s">
        <v>141</v>
      </c>
      <c r="D539" s="28" t="str">
        <f t="shared" ref="D539:D540" si="212">IF(G539&lt;&gt;"rumus","Lulusan","")</f>
        <v/>
      </c>
      <c r="E539" s="256" t="str">
        <f t="shared" ref="E539:E540" si="213">IF(I539&lt;&gt;"",1,"")</f>
        <v/>
      </c>
      <c r="F539" s="256" t="str">
        <f t="shared" ref="F539:F540" si="214">IF(I539&lt;&gt;"",J539,"")</f>
        <v/>
      </c>
      <c r="G539" s="159" t="str">
        <f t="shared" si="208"/>
        <v>rumus</v>
      </c>
      <c r="H539" s="39" t="s">
        <v>66</v>
      </c>
      <c r="I539" s="38"/>
      <c r="J539" s="37" t="str">
        <f t="shared" ref="J539:J540" si="215">IF(I539&lt;&gt;"",IF(I539="Ketua Penguji",1,IF(I539="Anggota Penguji",0.5,"")),"rumus")</f>
        <v>rumus</v>
      </c>
      <c r="K539" s="35"/>
      <c r="L539" s="35"/>
      <c r="M539" s="35"/>
    </row>
    <row r="540" spans="1:14" ht="15" hidden="1" customHeight="1" x14ac:dyDescent="0.45">
      <c r="A540" s="67">
        <v>10</v>
      </c>
      <c r="B540" s="199" t="s">
        <v>97</v>
      </c>
      <c r="C540" s="28" t="s">
        <v>141</v>
      </c>
      <c r="D540" s="28" t="str">
        <f t="shared" si="212"/>
        <v/>
      </c>
      <c r="E540" s="256" t="str">
        <f t="shared" si="213"/>
        <v/>
      </c>
      <c r="F540" s="256" t="str">
        <f t="shared" si="214"/>
        <v/>
      </c>
      <c r="G540" s="159" t="str">
        <f t="shared" si="208"/>
        <v>rumus</v>
      </c>
      <c r="H540" s="39" t="s">
        <v>66</v>
      </c>
      <c r="I540" s="38"/>
      <c r="J540" s="37" t="str">
        <f t="shared" si="215"/>
        <v>rumus</v>
      </c>
      <c r="K540" s="35"/>
      <c r="L540" s="35"/>
      <c r="M540" s="35"/>
    </row>
    <row r="541" spans="1:14" ht="15" hidden="1" customHeight="1" x14ac:dyDescent="0.45">
      <c r="A541" s="67"/>
      <c r="B541" s="168" t="str">
        <f>"a. Semester Gasal "&amp;IF(C542&lt;&gt;"",C542,"")&amp;" :"</f>
        <v>a. Semester Gasal 2005/2006 :</v>
      </c>
      <c r="C541" s="57"/>
      <c r="D541" s="57"/>
      <c r="E541" s="57"/>
      <c r="F541" s="57"/>
      <c r="G541" s="57"/>
      <c r="H541" s="114"/>
      <c r="I541" s="35"/>
      <c r="J541" s="35"/>
      <c r="K541" s="106">
        <f>IF(COUNTIF(I531:I540,"Ketua Penguji")&lt;=4,SUMIF(I531:I540,"Ketua Penguji",J531:J540),4*1)+IF(COUNTIF(I531:I540,"Anggota Penguji")&lt;=8,SUMIF(I531:I540,"Anggota Penguji",J531:J540),8*0.5)</f>
        <v>0</v>
      </c>
      <c r="L541" t="s">
        <v>282</v>
      </c>
      <c r="M541">
        <f>IF(COUNTIF(I531:I540,"Ketua Penguji")&lt;=4,SUMIF(I531:I540,"Ketua Penguji",J531:J540),4*1)</f>
        <v>0</v>
      </c>
      <c r="N541">
        <f>IF(COUNTIF(I531:I540,"Anggota Penguji")&lt;=8,SUMIF(I531:I540,"Anggota Penguji",J531:J540),8*0.5)</f>
        <v>0</v>
      </c>
    </row>
    <row r="542" spans="1:14" ht="15" hidden="1" customHeight="1" x14ac:dyDescent="0.45">
      <c r="A542" s="67">
        <v>1</v>
      </c>
      <c r="B542" s="186" t="s">
        <v>97</v>
      </c>
      <c r="C542" s="28" t="s">
        <v>142</v>
      </c>
      <c r="D542" s="28" t="str">
        <f t="shared" ref="D542:D551" si="216">IF(G542&lt;&gt;"rumus","Lulusan","")</f>
        <v/>
      </c>
      <c r="E542" s="256" t="str">
        <f t="shared" ref="E542:E551" si="217">IF(I542&lt;&gt;"",1,"")</f>
        <v/>
      </c>
      <c r="F542" s="256" t="str">
        <f>IF(I542&lt;&gt;"",J542,"")</f>
        <v/>
      </c>
      <c r="G542" s="159" t="str">
        <f>IF(J542&lt;&gt;"rumus","1 x "&amp;J542&amp;" = "&amp;J542,"rumus")</f>
        <v>rumus</v>
      </c>
      <c r="H542" s="28" t="s">
        <v>620</v>
      </c>
      <c r="I542" s="38"/>
      <c r="J542" s="37" t="str">
        <f>IF(I542&lt;&gt;"",IF(I542="Ketua Penguji",1,IF(I542="Anggota Penguji",0.5,"")),"rumus")</f>
        <v>rumus</v>
      </c>
      <c r="K542" s="35"/>
      <c r="L542" s="35"/>
      <c r="M542" s="35"/>
    </row>
    <row r="543" spans="1:14" ht="15" hidden="1" customHeight="1" x14ac:dyDescent="0.45">
      <c r="A543" s="67">
        <v>2</v>
      </c>
      <c r="B543" s="186" t="s">
        <v>97</v>
      </c>
      <c r="C543" s="28" t="s">
        <v>142</v>
      </c>
      <c r="D543" s="28" t="str">
        <f t="shared" si="216"/>
        <v/>
      </c>
      <c r="E543" s="256" t="str">
        <f t="shared" si="217"/>
        <v/>
      </c>
      <c r="F543" s="256" t="str">
        <f t="shared" ref="F543:F551" si="218">IF(I543&lt;&gt;"",J543,"")</f>
        <v/>
      </c>
      <c r="G543" s="159" t="str">
        <f t="shared" ref="G543:G551" si="219">IF(J543&lt;&gt;"rumus","1 x "&amp;J543&amp;" = "&amp;J543,"rumus")</f>
        <v>rumus</v>
      </c>
      <c r="H543" s="39" t="s">
        <v>66</v>
      </c>
      <c r="I543" s="38"/>
      <c r="J543" s="37" t="str">
        <f t="shared" ref="J543" si="220">IF(I543&lt;&gt;"",IF(I543="Ketua Penguji",1,IF(I543="Anggota Penguji",0.5,"")),"rumus")</f>
        <v>rumus</v>
      </c>
      <c r="K543" s="35"/>
      <c r="L543" s="35"/>
      <c r="M543" s="35"/>
    </row>
    <row r="544" spans="1:14" ht="15" hidden="1" customHeight="1" x14ac:dyDescent="0.45">
      <c r="A544" s="67">
        <v>3</v>
      </c>
      <c r="B544" s="186" t="s">
        <v>97</v>
      </c>
      <c r="C544" s="28" t="s">
        <v>142</v>
      </c>
      <c r="D544" s="28" t="str">
        <f t="shared" si="216"/>
        <v/>
      </c>
      <c r="E544" s="256" t="str">
        <f t="shared" si="217"/>
        <v/>
      </c>
      <c r="F544" s="256" t="str">
        <f t="shared" si="218"/>
        <v/>
      </c>
      <c r="G544" s="159" t="str">
        <f t="shared" si="219"/>
        <v>rumus</v>
      </c>
      <c r="H544" s="39" t="s">
        <v>66</v>
      </c>
      <c r="I544" s="38"/>
      <c r="J544" s="37" t="str">
        <f>IF(I544&lt;&gt;"",IF(I544="Ketua Penguji",1,IF(I544="Anggota Penguji",0.5,"")),"rumus")</f>
        <v>rumus</v>
      </c>
      <c r="K544" s="35"/>
      <c r="L544" s="35"/>
      <c r="M544" s="35"/>
    </row>
    <row r="545" spans="1:14" ht="15" hidden="1" customHeight="1" x14ac:dyDescent="0.45">
      <c r="A545" s="67">
        <v>4</v>
      </c>
      <c r="B545" s="186" t="s">
        <v>97</v>
      </c>
      <c r="C545" s="28" t="s">
        <v>142</v>
      </c>
      <c r="D545" s="28" t="str">
        <f t="shared" si="216"/>
        <v/>
      </c>
      <c r="E545" s="256" t="str">
        <f t="shared" si="217"/>
        <v/>
      </c>
      <c r="F545" s="256" t="str">
        <f t="shared" si="218"/>
        <v/>
      </c>
      <c r="G545" s="159" t="str">
        <f t="shared" si="219"/>
        <v>rumus</v>
      </c>
      <c r="H545" s="39" t="s">
        <v>66</v>
      </c>
      <c r="I545" s="38"/>
      <c r="J545" s="37" t="str">
        <f t="shared" ref="J545:J551" si="221">IF(I545&lt;&gt;"",IF(I545="Ketua Penguji",1,IF(I545="Anggota Penguji",0.5,"")),"rumus")</f>
        <v>rumus</v>
      </c>
      <c r="K545" s="35"/>
      <c r="L545" s="35"/>
      <c r="M545" s="35"/>
    </row>
    <row r="546" spans="1:14" ht="15" hidden="1" customHeight="1" x14ac:dyDescent="0.45">
      <c r="A546" s="67">
        <v>5</v>
      </c>
      <c r="B546" s="186" t="s">
        <v>97</v>
      </c>
      <c r="C546" s="28" t="s">
        <v>142</v>
      </c>
      <c r="D546" s="28" t="str">
        <f t="shared" si="216"/>
        <v/>
      </c>
      <c r="E546" s="256" t="str">
        <f t="shared" si="217"/>
        <v/>
      </c>
      <c r="F546" s="256" t="str">
        <f t="shared" si="218"/>
        <v/>
      </c>
      <c r="G546" s="159" t="str">
        <f t="shared" si="219"/>
        <v>rumus</v>
      </c>
      <c r="H546" s="39" t="s">
        <v>66</v>
      </c>
      <c r="I546" s="38"/>
      <c r="J546" s="37" t="str">
        <f t="shared" si="221"/>
        <v>rumus</v>
      </c>
      <c r="K546" s="35"/>
      <c r="L546" s="35"/>
      <c r="M546" s="35"/>
    </row>
    <row r="547" spans="1:14" ht="15" hidden="1" customHeight="1" x14ac:dyDescent="0.45">
      <c r="A547" s="67">
        <v>6</v>
      </c>
      <c r="B547" s="186" t="s">
        <v>97</v>
      </c>
      <c r="C547" s="28" t="s">
        <v>142</v>
      </c>
      <c r="D547" s="28" t="str">
        <f t="shared" si="216"/>
        <v/>
      </c>
      <c r="E547" s="256" t="str">
        <f t="shared" si="217"/>
        <v/>
      </c>
      <c r="F547" s="256" t="str">
        <f t="shared" si="218"/>
        <v/>
      </c>
      <c r="G547" s="159" t="str">
        <f t="shared" si="219"/>
        <v>rumus</v>
      </c>
      <c r="H547" s="39" t="s">
        <v>66</v>
      </c>
      <c r="I547" s="38"/>
      <c r="J547" s="37" t="str">
        <f t="shared" si="221"/>
        <v>rumus</v>
      </c>
      <c r="K547" s="35"/>
      <c r="L547" s="35"/>
      <c r="M547" s="35"/>
    </row>
    <row r="548" spans="1:14" ht="15" hidden="1" customHeight="1" x14ac:dyDescent="0.45">
      <c r="A548" s="67">
        <v>7</v>
      </c>
      <c r="B548" s="186" t="s">
        <v>97</v>
      </c>
      <c r="C548" s="28" t="s">
        <v>142</v>
      </c>
      <c r="D548" s="28" t="str">
        <f t="shared" si="216"/>
        <v/>
      </c>
      <c r="E548" s="256" t="str">
        <f t="shared" si="217"/>
        <v/>
      </c>
      <c r="F548" s="256" t="str">
        <f t="shared" si="218"/>
        <v/>
      </c>
      <c r="G548" s="159" t="str">
        <f t="shared" si="219"/>
        <v>rumus</v>
      </c>
      <c r="H548" s="39" t="s">
        <v>66</v>
      </c>
      <c r="I548" s="38"/>
      <c r="J548" s="37" t="str">
        <f t="shared" si="221"/>
        <v>rumus</v>
      </c>
      <c r="K548" s="35"/>
      <c r="L548" s="35"/>
      <c r="M548" s="35"/>
    </row>
    <row r="549" spans="1:14" ht="15" hidden="1" customHeight="1" x14ac:dyDescent="0.45">
      <c r="A549" s="67">
        <v>8</v>
      </c>
      <c r="B549" s="186" t="s">
        <v>97</v>
      </c>
      <c r="C549" s="28" t="s">
        <v>142</v>
      </c>
      <c r="D549" s="28" t="str">
        <f t="shared" si="216"/>
        <v/>
      </c>
      <c r="E549" s="256" t="str">
        <f t="shared" si="217"/>
        <v/>
      </c>
      <c r="F549" s="256" t="str">
        <f t="shared" si="218"/>
        <v/>
      </c>
      <c r="G549" s="159" t="str">
        <f t="shared" si="219"/>
        <v>rumus</v>
      </c>
      <c r="H549" s="39" t="s">
        <v>66</v>
      </c>
      <c r="I549" s="38"/>
      <c r="J549" s="37" t="str">
        <f t="shared" si="221"/>
        <v>rumus</v>
      </c>
      <c r="K549" s="35"/>
      <c r="L549" s="35"/>
      <c r="M549" s="35"/>
    </row>
    <row r="550" spans="1:14" ht="15" hidden="1" customHeight="1" x14ac:dyDescent="0.45">
      <c r="A550" s="67">
        <v>9</v>
      </c>
      <c r="B550" s="186" t="s">
        <v>97</v>
      </c>
      <c r="C550" s="28" t="s">
        <v>142</v>
      </c>
      <c r="D550" s="28" t="str">
        <f t="shared" si="216"/>
        <v/>
      </c>
      <c r="E550" s="256" t="str">
        <f t="shared" si="217"/>
        <v/>
      </c>
      <c r="F550" s="256" t="str">
        <f t="shared" si="218"/>
        <v/>
      </c>
      <c r="G550" s="159" t="str">
        <f t="shared" si="219"/>
        <v>rumus</v>
      </c>
      <c r="H550" s="39" t="s">
        <v>66</v>
      </c>
      <c r="I550" s="38"/>
      <c r="J550" s="37" t="str">
        <f t="shared" si="221"/>
        <v>rumus</v>
      </c>
      <c r="K550" s="35"/>
      <c r="L550" s="35"/>
      <c r="M550" s="35"/>
    </row>
    <row r="551" spans="1:14" ht="15" hidden="1" customHeight="1" x14ac:dyDescent="0.45">
      <c r="A551" s="67">
        <v>10</v>
      </c>
      <c r="B551" s="186" t="s">
        <v>97</v>
      </c>
      <c r="C551" s="28" t="s">
        <v>142</v>
      </c>
      <c r="D551" s="28" t="str">
        <f t="shared" si="216"/>
        <v/>
      </c>
      <c r="E551" s="256" t="str">
        <f t="shared" si="217"/>
        <v/>
      </c>
      <c r="F551" s="256" t="str">
        <f t="shared" si="218"/>
        <v/>
      </c>
      <c r="G551" s="159" t="str">
        <f t="shared" si="219"/>
        <v>rumus</v>
      </c>
      <c r="H551" s="39" t="s">
        <v>66</v>
      </c>
      <c r="I551" s="38"/>
      <c r="J551" s="37" t="str">
        <f t="shared" si="221"/>
        <v>rumus</v>
      </c>
      <c r="K551" s="35"/>
      <c r="L551" s="35"/>
      <c r="M551" s="35"/>
    </row>
    <row r="552" spans="1:14" ht="15" hidden="1" customHeight="1" x14ac:dyDescent="0.45">
      <c r="A552" s="67"/>
      <c r="B552" s="168" t="str">
        <f>"a. Semester Gasal "&amp;IF(C553&lt;&gt;"",C553,"")&amp;" :"</f>
        <v>a. Semester Gasal 2006/2007 :</v>
      </c>
      <c r="C552" s="57"/>
      <c r="D552" s="57"/>
      <c r="E552" s="57"/>
      <c r="F552" s="57"/>
      <c r="G552" s="57"/>
      <c r="H552" s="124"/>
      <c r="I552" s="35"/>
      <c r="J552" s="35"/>
      <c r="K552" s="106">
        <f>IF(COUNTIF(I542:I551,"Ketua Penguji")&lt;=4,SUMIF(I542:I551,"Ketua Penguji",J542:J551),4*1)+IF(COUNTIF(I542:I551,"Anggota Penguji")&lt;=8,SUMIF(I542:I551,"Anggota Penguji",J542:J551),8*0.5)</f>
        <v>0</v>
      </c>
      <c r="L552" t="s">
        <v>282</v>
      </c>
      <c r="M552">
        <f>IF(COUNTIF(I542:I551,"Ketua Penguji")&lt;=4,SUMIF(I542:I551,"Ketua Penguji",J542:J551),4*1)</f>
        <v>0</v>
      </c>
      <c r="N552">
        <f>IF(COUNTIF(I542:I551,"Anggota Penguji")&lt;=8,SUMIF(I542:I551,"Anggota Penguji",J542:J551),8*0.5)</f>
        <v>0</v>
      </c>
    </row>
    <row r="553" spans="1:14" ht="15" hidden="1" customHeight="1" x14ac:dyDescent="0.45">
      <c r="A553" s="67">
        <v>1</v>
      </c>
      <c r="B553" s="186" t="s">
        <v>97</v>
      </c>
      <c r="C553" s="28" t="s">
        <v>143</v>
      </c>
      <c r="D553" s="28" t="str">
        <f t="shared" ref="D553:D562" si="222">IF(G553&lt;&gt;"rumus","Lulusan","")</f>
        <v/>
      </c>
      <c r="E553" s="256" t="str">
        <f t="shared" ref="E553:E562" si="223">IF(I553&lt;&gt;"",1,"")</f>
        <v/>
      </c>
      <c r="F553" s="256" t="str">
        <f>IF(I553&lt;&gt;"",J553,"")</f>
        <v/>
      </c>
      <c r="G553" s="159" t="str">
        <f>IF(J553&lt;&gt;"rumus","1 x "&amp;J553&amp;" = "&amp;J553,"rumus")</f>
        <v>rumus</v>
      </c>
      <c r="H553" s="28" t="s">
        <v>620</v>
      </c>
      <c r="I553" s="38"/>
      <c r="J553" s="37" t="str">
        <f>IF(I553&lt;&gt;"",IF(I553="Ketua Penguji",1,IF(I553="Anggota Penguji",0.5,"")),"rumus")</f>
        <v>rumus</v>
      </c>
      <c r="K553" s="35"/>
      <c r="L553" s="35"/>
      <c r="M553" s="35"/>
    </row>
    <row r="554" spans="1:14" ht="15" hidden="1" customHeight="1" x14ac:dyDescent="0.45">
      <c r="A554" s="67">
        <v>2</v>
      </c>
      <c r="B554" s="186" t="s">
        <v>97</v>
      </c>
      <c r="C554" s="28" t="s">
        <v>143</v>
      </c>
      <c r="D554" s="28" t="str">
        <f t="shared" si="222"/>
        <v/>
      </c>
      <c r="E554" s="256" t="str">
        <f t="shared" si="223"/>
        <v/>
      </c>
      <c r="F554" s="256" t="str">
        <f t="shared" ref="F554:F562" si="224">IF(I554&lt;&gt;"",J554,"")</f>
        <v/>
      </c>
      <c r="G554" s="159" t="str">
        <f t="shared" ref="G554:G562" si="225">IF(J554&lt;&gt;"rumus","1 x "&amp;J554&amp;" = "&amp;J554,"rumus")</f>
        <v>rumus</v>
      </c>
      <c r="H554" s="39" t="s">
        <v>66</v>
      </c>
      <c r="I554" s="38"/>
      <c r="J554" s="37" t="str">
        <f t="shared" ref="J554" si="226">IF(I554&lt;&gt;"",IF(I554="Ketua Penguji",1,IF(I554="Anggota Penguji",0.5,"")),"rumus")</f>
        <v>rumus</v>
      </c>
      <c r="K554" s="35"/>
      <c r="L554" s="35"/>
      <c r="M554" s="35"/>
    </row>
    <row r="555" spans="1:14" ht="15" hidden="1" customHeight="1" x14ac:dyDescent="0.45">
      <c r="A555" s="67">
        <v>3</v>
      </c>
      <c r="B555" s="186" t="s">
        <v>97</v>
      </c>
      <c r="C555" s="28" t="s">
        <v>143</v>
      </c>
      <c r="D555" s="28" t="str">
        <f t="shared" si="222"/>
        <v/>
      </c>
      <c r="E555" s="256" t="str">
        <f t="shared" si="223"/>
        <v/>
      </c>
      <c r="F555" s="256" t="str">
        <f t="shared" si="224"/>
        <v/>
      </c>
      <c r="G555" s="159" t="str">
        <f t="shared" si="225"/>
        <v>rumus</v>
      </c>
      <c r="H555" s="39" t="s">
        <v>66</v>
      </c>
      <c r="I555" s="38"/>
      <c r="J555" s="37" t="str">
        <f>IF(I555&lt;&gt;"",IF(I555="Ketua Penguji",1,IF(I555="Anggota Penguji",0.5,"")),"rumus")</f>
        <v>rumus</v>
      </c>
      <c r="K555" s="35"/>
      <c r="L555" s="35"/>
      <c r="M555" s="35"/>
    </row>
    <row r="556" spans="1:14" ht="15" hidden="1" customHeight="1" x14ac:dyDescent="0.45">
      <c r="A556" s="67">
        <v>4</v>
      </c>
      <c r="B556" s="186" t="s">
        <v>97</v>
      </c>
      <c r="C556" s="28" t="s">
        <v>143</v>
      </c>
      <c r="D556" s="28" t="str">
        <f t="shared" si="222"/>
        <v/>
      </c>
      <c r="E556" s="256" t="str">
        <f t="shared" si="223"/>
        <v/>
      </c>
      <c r="F556" s="256" t="str">
        <f t="shared" si="224"/>
        <v/>
      </c>
      <c r="G556" s="159" t="str">
        <f t="shared" si="225"/>
        <v>rumus</v>
      </c>
      <c r="H556" s="39" t="s">
        <v>66</v>
      </c>
      <c r="I556" s="38"/>
      <c r="J556" s="37" t="str">
        <f t="shared" ref="J556:J562" si="227">IF(I556&lt;&gt;"",IF(I556="Ketua Penguji",1,IF(I556="Anggota Penguji",0.5,"")),"rumus")</f>
        <v>rumus</v>
      </c>
      <c r="K556" s="35"/>
      <c r="L556" s="35"/>
      <c r="M556" s="35"/>
    </row>
    <row r="557" spans="1:14" ht="15" hidden="1" customHeight="1" x14ac:dyDescent="0.45">
      <c r="A557" s="67">
        <v>5</v>
      </c>
      <c r="B557" s="186" t="s">
        <v>97</v>
      </c>
      <c r="C557" s="28" t="s">
        <v>143</v>
      </c>
      <c r="D557" s="28" t="str">
        <f t="shared" si="222"/>
        <v/>
      </c>
      <c r="E557" s="256" t="str">
        <f t="shared" si="223"/>
        <v/>
      </c>
      <c r="F557" s="256" t="str">
        <f t="shared" si="224"/>
        <v/>
      </c>
      <c r="G557" s="159" t="str">
        <f t="shared" si="225"/>
        <v>rumus</v>
      </c>
      <c r="H557" s="39" t="s">
        <v>66</v>
      </c>
      <c r="I557" s="38"/>
      <c r="J557" s="37" t="str">
        <f t="shared" si="227"/>
        <v>rumus</v>
      </c>
      <c r="K557" s="35"/>
      <c r="L557" s="35"/>
      <c r="M557" s="35"/>
    </row>
    <row r="558" spans="1:14" ht="15" hidden="1" customHeight="1" x14ac:dyDescent="0.45">
      <c r="A558" s="67">
        <v>6</v>
      </c>
      <c r="B558" s="186" t="s">
        <v>97</v>
      </c>
      <c r="C558" s="28" t="s">
        <v>143</v>
      </c>
      <c r="D558" s="28" t="str">
        <f t="shared" si="222"/>
        <v/>
      </c>
      <c r="E558" s="256" t="str">
        <f t="shared" si="223"/>
        <v/>
      </c>
      <c r="F558" s="256" t="str">
        <f t="shared" si="224"/>
        <v/>
      </c>
      <c r="G558" s="159" t="str">
        <f t="shared" si="225"/>
        <v>rumus</v>
      </c>
      <c r="H558" s="39" t="s">
        <v>66</v>
      </c>
      <c r="I558" s="38"/>
      <c r="J558" s="37" t="str">
        <f t="shared" si="227"/>
        <v>rumus</v>
      </c>
      <c r="K558" s="35"/>
      <c r="L558" s="35"/>
      <c r="M558" s="35"/>
    </row>
    <row r="559" spans="1:14" ht="15" hidden="1" customHeight="1" x14ac:dyDescent="0.45">
      <c r="A559" s="67">
        <v>7</v>
      </c>
      <c r="B559" s="186" t="s">
        <v>97</v>
      </c>
      <c r="C559" s="28" t="s">
        <v>143</v>
      </c>
      <c r="D559" s="28" t="str">
        <f t="shared" si="222"/>
        <v/>
      </c>
      <c r="E559" s="256" t="str">
        <f t="shared" si="223"/>
        <v/>
      </c>
      <c r="F559" s="256" t="str">
        <f t="shared" si="224"/>
        <v/>
      </c>
      <c r="G559" s="159" t="str">
        <f t="shared" si="225"/>
        <v>rumus</v>
      </c>
      <c r="H559" s="39" t="s">
        <v>66</v>
      </c>
      <c r="I559" s="38"/>
      <c r="J559" s="37" t="str">
        <f t="shared" si="227"/>
        <v>rumus</v>
      </c>
      <c r="K559" s="35"/>
      <c r="L559" s="35"/>
      <c r="M559" s="35"/>
    </row>
    <row r="560" spans="1:14" ht="15" hidden="1" customHeight="1" x14ac:dyDescent="0.45">
      <c r="A560" s="67">
        <v>8</v>
      </c>
      <c r="B560" s="186" t="s">
        <v>97</v>
      </c>
      <c r="C560" s="28" t="s">
        <v>143</v>
      </c>
      <c r="D560" s="28" t="str">
        <f t="shared" si="222"/>
        <v/>
      </c>
      <c r="E560" s="256" t="str">
        <f t="shared" si="223"/>
        <v/>
      </c>
      <c r="F560" s="256" t="str">
        <f t="shared" si="224"/>
        <v/>
      </c>
      <c r="G560" s="159" t="str">
        <f t="shared" si="225"/>
        <v>rumus</v>
      </c>
      <c r="H560" s="39" t="s">
        <v>66</v>
      </c>
      <c r="I560" s="38"/>
      <c r="J560" s="37" t="str">
        <f t="shared" si="227"/>
        <v>rumus</v>
      </c>
      <c r="K560" s="35"/>
      <c r="L560" s="35"/>
      <c r="M560" s="35"/>
    </row>
    <row r="561" spans="1:14" ht="15" hidden="1" customHeight="1" x14ac:dyDescent="0.45">
      <c r="A561" s="67">
        <v>9</v>
      </c>
      <c r="B561" s="186" t="s">
        <v>97</v>
      </c>
      <c r="C561" s="28" t="s">
        <v>143</v>
      </c>
      <c r="D561" s="28" t="str">
        <f t="shared" si="222"/>
        <v/>
      </c>
      <c r="E561" s="256" t="str">
        <f t="shared" si="223"/>
        <v/>
      </c>
      <c r="F561" s="256" t="str">
        <f t="shared" si="224"/>
        <v/>
      </c>
      <c r="G561" s="159" t="str">
        <f t="shared" si="225"/>
        <v>rumus</v>
      </c>
      <c r="H561" s="39" t="s">
        <v>66</v>
      </c>
      <c r="I561" s="38"/>
      <c r="J561" s="37" t="str">
        <f t="shared" si="227"/>
        <v>rumus</v>
      </c>
      <c r="K561" s="35"/>
      <c r="L561" s="35"/>
      <c r="M561" s="35"/>
    </row>
    <row r="562" spans="1:14" ht="15" hidden="1" customHeight="1" x14ac:dyDescent="0.45">
      <c r="A562" s="67">
        <v>10</v>
      </c>
      <c r="B562" s="186" t="s">
        <v>97</v>
      </c>
      <c r="C562" s="28" t="s">
        <v>143</v>
      </c>
      <c r="D562" s="28" t="str">
        <f t="shared" si="222"/>
        <v/>
      </c>
      <c r="E562" s="256" t="str">
        <f t="shared" si="223"/>
        <v/>
      </c>
      <c r="F562" s="256" t="str">
        <f t="shared" si="224"/>
        <v/>
      </c>
      <c r="G562" s="159" t="str">
        <f t="shared" si="225"/>
        <v>rumus</v>
      </c>
      <c r="H562" s="39" t="s">
        <v>66</v>
      </c>
      <c r="I562" s="38"/>
      <c r="J562" s="37" t="str">
        <f t="shared" si="227"/>
        <v>rumus</v>
      </c>
      <c r="K562" s="35"/>
      <c r="L562" s="35"/>
      <c r="M562" s="35"/>
    </row>
    <row r="563" spans="1:14" ht="15" hidden="1" customHeight="1" x14ac:dyDescent="0.45">
      <c r="A563" s="67"/>
      <c r="B563" s="168" t="str">
        <f>"a. Semester Gasal "&amp;IF(C564&lt;&gt;"",C564,"")&amp;" :"</f>
        <v>a. Semester Gasal 2007/2008 :</v>
      </c>
      <c r="C563" s="57"/>
      <c r="D563" s="57"/>
      <c r="E563" s="57"/>
      <c r="F563" s="57"/>
      <c r="G563" s="57"/>
      <c r="H563" s="124"/>
      <c r="I563" s="35"/>
      <c r="J563" s="35"/>
      <c r="K563" s="106">
        <f>IF(COUNTIF(I553:I562,"Ketua Penguji")&lt;=4,SUMIF(I553:I562,"Ketua Penguji",J553:J562),4*1)+IF(COUNTIF(I553:I562,"Anggota Penguji")&lt;=8,SUMIF(I553:I562,"Anggota Penguji",J553:J562),8*0.5)</f>
        <v>0</v>
      </c>
      <c r="L563" t="s">
        <v>282</v>
      </c>
      <c r="M563">
        <f>IF(COUNTIF(I553:I562,"Ketua Penguji")&lt;=4,SUMIF(I553:I562,"Ketua Penguji",J553:J562),4*1)</f>
        <v>0</v>
      </c>
      <c r="N563">
        <f>IF(COUNTIF(I553:I562,"Anggota Penguji")&lt;=8,SUMIF(I553:I562,"Anggota Penguji",J553:J562),8*0.5)</f>
        <v>0</v>
      </c>
    </row>
    <row r="564" spans="1:14" ht="15" hidden="1" customHeight="1" x14ac:dyDescent="0.45">
      <c r="A564" s="67">
        <v>1</v>
      </c>
      <c r="B564" s="186" t="s">
        <v>97</v>
      </c>
      <c r="C564" s="28" t="s">
        <v>144</v>
      </c>
      <c r="D564" s="28" t="str">
        <f t="shared" ref="D564:D573" si="228">IF(G564&lt;&gt;"rumus","Lulusan","")</f>
        <v/>
      </c>
      <c r="E564" s="256" t="str">
        <f t="shared" ref="E564:E573" si="229">IF(I564&lt;&gt;"",1,"")</f>
        <v/>
      </c>
      <c r="F564" s="256" t="str">
        <f>IF(I564&lt;&gt;"",J564,"")</f>
        <v/>
      </c>
      <c r="G564" s="159" t="str">
        <f>IF(J564&lt;&gt;"rumus","1 x "&amp;J564&amp;" = "&amp;J564,"rumus")</f>
        <v>rumus</v>
      </c>
      <c r="H564" s="28" t="s">
        <v>620</v>
      </c>
      <c r="I564" s="38"/>
      <c r="J564" s="37" t="str">
        <f>IF(I564&lt;&gt;"",IF(I564="Ketua Penguji",1,IF(I564="Anggota Penguji",0.5,"")),"rumus")</f>
        <v>rumus</v>
      </c>
      <c r="K564" s="35"/>
      <c r="L564" s="35"/>
      <c r="M564" s="35"/>
    </row>
    <row r="565" spans="1:14" ht="15" hidden="1" customHeight="1" x14ac:dyDescent="0.45">
      <c r="A565" s="67">
        <v>2</v>
      </c>
      <c r="B565" s="186" t="s">
        <v>97</v>
      </c>
      <c r="C565" s="28" t="s">
        <v>144</v>
      </c>
      <c r="D565" s="28" t="str">
        <f t="shared" si="228"/>
        <v/>
      </c>
      <c r="E565" s="256" t="str">
        <f t="shared" si="229"/>
        <v/>
      </c>
      <c r="F565" s="256" t="str">
        <f t="shared" ref="F565:F573" si="230">IF(I565&lt;&gt;"",J565,"")</f>
        <v/>
      </c>
      <c r="G565" s="159" t="str">
        <f t="shared" ref="G565:G573" si="231">IF(J565&lt;&gt;"rumus","1 x "&amp;J565&amp;" = "&amp;J565,"rumus")</f>
        <v>rumus</v>
      </c>
      <c r="H565" s="39" t="s">
        <v>66</v>
      </c>
      <c r="I565" s="38"/>
      <c r="J565" s="37" t="str">
        <f t="shared" ref="J565" si="232">IF(I565&lt;&gt;"",IF(I565="Ketua Penguji",1,IF(I565="Anggota Penguji",0.5,"")),"rumus")</f>
        <v>rumus</v>
      </c>
      <c r="K565" s="35"/>
      <c r="L565" s="35"/>
      <c r="M565" s="35"/>
    </row>
    <row r="566" spans="1:14" ht="15" hidden="1" customHeight="1" x14ac:dyDescent="0.45">
      <c r="A566" s="67">
        <v>3</v>
      </c>
      <c r="B566" s="186" t="s">
        <v>97</v>
      </c>
      <c r="C566" s="28" t="s">
        <v>144</v>
      </c>
      <c r="D566" s="28" t="str">
        <f t="shared" si="228"/>
        <v/>
      </c>
      <c r="E566" s="256" t="str">
        <f t="shared" si="229"/>
        <v/>
      </c>
      <c r="F566" s="256" t="str">
        <f t="shared" si="230"/>
        <v/>
      </c>
      <c r="G566" s="159" t="str">
        <f t="shared" si="231"/>
        <v>rumus</v>
      </c>
      <c r="H566" s="39" t="s">
        <v>66</v>
      </c>
      <c r="I566" s="38"/>
      <c r="J566" s="37" t="str">
        <f>IF(I566&lt;&gt;"",IF(I566="Ketua Penguji",1,IF(I566="Anggota Penguji",0.5,"")),"rumus")</f>
        <v>rumus</v>
      </c>
      <c r="K566" s="35"/>
      <c r="L566" s="35"/>
      <c r="M566" s="35"/>
    </row>
    <row r="567" spans="1:14" ht="15" hidden="1" customHeight="1" x14ac:dyDescent="0.45">
      <c r="A567" s="67">
        <v>4</v>
      </c>
      <c r="B567" s="186" t="s">
        <v>97</v>
      </c>
      <c r="C567" s="28" t="s">
        <v>144</v>
      </c>
      <c r="D567" s="28" t="str">
        <f t="shared" si="228"/>
        <v/>
      </c>
      <c r="E567" s="256" t="str">
        <f t="shared" si="229"/>
        <v/>
      </c>
      <c r="F567" s="256" t="str">
        <f t="shared" si="230"/>
        <v/>
      </c>
      <c r="G567" s="159" t="str">
        <f t="shared" si="231"/>
        <v>rumus</v>
      </c>
      <c r="H567" s="39" t="s">
        <v>66</v>
      </c>
      <c r="I567" s="38"/>
      <c r="J567" s="37" t="str">
        <f t="shared" ref="J567:J573" si="233">IF(I567&lt;&gt;"",IF(I567="Ketua Penguji",1,IF(I567="Anggota Penguji",0.5,"")),"rumus")</f>
        <v>rumus</v>
      </c>
      <c r="K567" s="35"/>
      <c r="L567" s="35"/>
      <c r="M567" s="35"/>
    </row>
    <row r="568" spans="1:14" ht="15" hidden="1" customHeight="1" x14ac:dyDescent="0.45">
      <c r="A568" s="67">
        <v>5</v>
      </c>
      <c r="B568" s="186" t="s">
        <v>97</v>
      </c>
      <c r="C568" s="28" t="s">
        <v>144</v>
      </c>
      <c r="D568" s="28" t="str">
        <f t="shared" si="228"/>
        <v/>
      </c>
      <c r="E568" s="256" t="str">
        <f t="shared" si="229"/>
        <v/>
      </c>
      <c r="F568" s="256" t="str">
        <f t="shared" si="230"/>
        <v/>
      </c>
      <c r="G568" s="159" t="str">
        <f t="shared" si="231"/>
        <v>rumus</v>
      </c>
      <c r="H568" s="39" t="s">
        <v>66</v>
      </c>
      <c r="I568" s="38"/>
      <c r="J568" s="37" t="str">
        <f t="shared" si="233"/>
        <v>rumus</v>
      </c>
      <c r="K568" s="35"/>
      <c r="L568" s="35"/>
      <c r="M568" s="35"/>
    </row>
    <row r="569" spans="1:14" ht="15" hidden="1" customHeight="1" x14ac:dyDescent="0.45">
      <c r="A569" s="67">
        <v>6</v>
      </c>
      <c r="B569" s="186" t="s">
        <v>97</v>
      </c>
      <c r="C569" s="28" t="s">
        <v>144</v>
      </c>
      <c r="D569" s="28" t="str">
        <f t="shared" si="228"/>
        <v/>
      </c>
      <c r="E569" s="256" t="str">
        <f t="shared" si="229"/>
        <v/>
      </c>
      <c r="F569" s="256" t="str">
        <f t="shared" si="230"/>
        <v/>
      </c>
      <c r="G569" s="159" t="str">
        <f t="shared" si="231"/>
        <v>rumus</v>
      </c>
      <c r="H569" s="39" t="s">
        <v>66</v>
      </c>
      <c r="I569" s="38"/>
      <c r="J569" s="37" t="str">
        <f t="shared" si="233"/>
        <v>rumus</v>
      </c>
      <c r="K569" s="35"/>
      <c r="L569" s="35"/>
      <c r="M569" s="35"/>
    </row>
    <row r="570" spans="1:14" ht="15" hidden="1" customHeight="1" x14ac:dyDescent="0.45">
      <c r="A570" s="67">
        <v>7</v>
      </c>
      <c r="B570" s="186" t="s">
        <v>97</v>
      </c>
      <c r="C570" s="28" t="s">
        <v>144</v>
      </c>
      <c r="D570" s="28" t="str">
        <f t="shared" si="228"/>
        <v/>
      </c>
      <c r="E570" s="256" t="str">
        <f t="shared" si="229"/>
        <v/>
      </c>
      <c r="F570" s="256" t="str">
        <f t="shared" si="230"/>
        <v/>
      </c>
      <c r="G570" s="159" t="str">
        <f t="shared" si="231"/>
        <v>rumus</v>
      </c>
      <c r="H570" s="39" t="s">
        <v>66</v>
      </c>
      <c r="I570" s="38"/>
      <c r="J570" s="37" t="str">
        <f t="shared" si="233"/>
        <v>rumus</v>
      </c>
      <c r="K570" s="35"/>
      <c r="L570" s="35"/>
      <c r="M570" s="35"/>
    </row>
    <row r="571" spans="1:14" ht="15" hidden="1" customHeight="1" x14ac:dyDescent="0.45">
      <c r="A571" s="67">
        <v>8</v>
      </c>
      <c r="B571" s="186" t="s">
        <v>97</v>
      </c>
      <c r="C571" s="28" t="s">
        <v>144</v>
      </c>
      <c r="D571" s="28" t="str">
        <f t="shared" si="228"/>
        <v/>
      </c>
      <c r="E571" s="256" t="str">
        <f t="shared" si="229"/>
        <v/>
      </c>
      <c r="F571" s="256" t="str">
        <f t="shared" si="230"/>
        <v/>
      </c>
      <c r="G571" s="159" t="str">
        <f t="shared" si="231"/>
        <v>rumus</v>
      </c>
      <c r="H571" s="39" t="s">
        <v>66</v>
      </c>
      <c r="I571" s="38"/>
      <c r="J571" s="37" t="str">
        <f t="shared" si="233"/>
        <v>rumus</v>
      </c>
      <c r="K571" s="35"/>
      <c r="L571" s="35"/>
      <c r="M571" s="35"/>
    </row>
    <row r="572" spans="1:14" ht="15" hidden="1" customHeight="1" x14ac:dyDescent="0.45">
      <c r="A572" s="67">
        <v>9</v>
      </c>
      <c r="B572" s="186" t="s">
        <v>97</v>
      </c>
      <c r="C572" s="28" t="s">
        <v>144</v>
      </c>
      <c r="D572" s="28" t="str">
        <f t="shared" si="228"/>
        <v/>
      </c>
      <c r="E572" s="256" t="str">
        <f t="shared" si="229"/>
        <v/>
      </c>
      <c r="F572" s="256" t="str">
        <f t="shared" si="230"/>
        <v/>
      </c>
      <c r="G572" s="159" t="str">
        <f t="shared" si="231"/>
        <v>rumus</v>
      </c>
      <c r="H572" s="39" t="s">
        <v>66</v>
      </c>
      <c r="I572" s="38"/>
      <c r="J572" s="37" t="str">
        <f t="shared" si="233"/>
        <v>rumus</v>
      </c>
      <c r="K572" s="35"/>
      <c r="L572" s="35"/>
      <c r="M572" s="35"/>
    </row>
    <row r="573" spans="1:14" ht="15" hidden="1" customHeight="1" x14ac:dyDescent="0.45">
      <c r="A573" s="67">
        <v>10</v>
      </c>
      <c r="B573" s="186" t="s">
        <v>97</v>
      </c>
      <c r="C573" s="28" t="s">
        <v>144</v>
      </c>
      <c r="D573" s="28" t="str">
        <f t="shared" si="228"/>
        <v/>
      </c>
      <c r="E573" s="256" t="str">
        <f t="shared" si="229"/>
        <v/>
      </c>
      <c r="F573" s="256" t="str">
        <f t="shared" si="230"/>
        <v/>
      </c>
      <c r="G573" s="159" t="str">
        <f t="shared" si="231"/>
        <v>rumus</v>
      </c>
      <c r="H573" s="39" t="s">
        <v>66</v>
      </c>
      <c r="I573" s="38"/>
      <c r="J573" s="37" t="str">
        <f t="shared" si="233"/>
        <v>rumus</v>
      </c>
      <c r="K573" s="35"/>
      <c r="L573" s="35"/>
      <c r="M573" s="35"/>
    </row>
    <row r="574" spans="1:14" ht="15" hidden="1" customHeight="1" x14ac:dyDescent="0.45">
      <c r="A574" s="67"/>
      <c r="B574" s="168" t="str">
        <f>"a. Semester Gasal "&amp;IF(C575&lt;&gt;"",C575,"")&amp;" :"</f>
        <v>a. Semester Gasal 2008/2009 :</v>
      </c>
      <c r="C574" s="57"/>
      <c r="D574" s="57"/>
      <c r="E574" s="57"/>
      <c r="F574" s="57"/>
      <c r="G574" s="57"/>
      <c r="H574" s="124"/>
      <c r="I574" s="35"/>
      <c r="J574" s="35"/>
      <c r="K574" s="106">
        <f>IF(COUNTIF(I564:I573,"Ketua Penguji")&lt;=4,SUMIF(I564:I573,"Ketua Penguji",J564:J573),4*1)+IF(COUNTIF(I564:I573,"Anggota Penguji")&lt;=8,SUMIF(I564:I573,"Anggota Penguji",J564:J573),8*0.5)</f>
        <v>0</v>
      </c>
      <c r="L574" t="s">
        <v>282</v>
      </c>
      <c r="M574">
        <f>IF(COUNTIF(I564:I573,"Ketua Penguji")&lt;=4,SUMIF(I564:I573,"Ketua Penguji",J564:J573),4*1)</f>
        <v>0</v>
      </c>
      <c r="N574">
        <f>IF(COUNTIF(I564:I573,"Anggota Penguji")&lt;=8,SUMIF(I564:I573,"Anggota Penguji",J564:J573),8*0.5)</f>
        <v>0</v>
      </c>
    </row>
    <row r="575" spans="1:14" ht="15" hidden="1" customHeight="1" x14ac:dyDescent="0.45">
      <c r="A575" s="67">
        <v>1</v>
      </c>
      <c r="B575" s="186" t="s">
        <v>97</v>
      </c>
      <c r="C575" s="28" t="s">
        <v>145</v>
      </c>
      <c r="D575" s="28" t="str">
        <f t="shared" ref="D575:D584" si="234">IF(G575&lt;&gt;"rumus","Lulusan","")</f>
        <v/>
      </c>
      <c r="E575" s="256" t="str">
        <f t="shared" ref="E575:E584" si="235">IF(I575&lt;&gt;"",1,"")</f>
        <v/>
      </c>
      <c r="F575" s="256" t="str">
        <f>IF(I575&lt;&gt;"",J575,"")</f>
        <v/>
      </c>
      <c r="G575" s="159" t="str">
        <f>IF(J575&lt;&gt;"rumus","1 x "&amp;J575&amp;" = "&amp;J575,"rumus")</f>
        <v>rumus</v>
      </c>
      <c r="H575" s="28" t="s">
        <v>620</v>
      </c>
      <c r="I575" s="38"/>
      <c r="J575" s="37" t="str">
        <f>IF(I575&lt;&gt;"",IF(I575="Ketua Penguji",1,IF(I575="Anggota Penguji",0.5,"")),"rumus")</f>
        <v>rumus</v>
      </c>
      <c r="K575" s="35"/>
      <c r="L575" s="35"/>
      <c r="M575" s="35"/>
    </row>
    <row r="576" spans="1:14" ht="15" hidden="1" customHeight="1" x14ac:dyDescent="0.45">
      <c r="A576" s="67">
        <v>2</v>
      </c>
      <c r="B576" s="186" t="s">
        <v>97</v>
      </c>
      <c r="C576" s="28" t="s">
        <v>145</v>
      </c>
      <c r="D576" s="28" t="str">
        <f t="shared" si="234"/>
        <v/>
      </c>
      <c r="E576" s="256" t="str">
        <f t="shared" si="235"/>
        <v/>
      </c>
      <c r="F576" s="256" t="str">
        <f t="shared" ref="F576:F584" si="236">IF(I576&lt;&gt;"",J576,"")</f>
        <v/>
      </c>
      <c r="G576" s="159" t="str">
        <f t="shared" ref="G576:G584" si="237">IF(J576&lt;&gt;"rumus","1 x "&amp;J576&amp;" = "&amp;J576,"rumus")</f>
        <v>rumus</v>
      </c>
      <c r="H576" s="39" t="s">
        <v>66</v>
      </c>
      <c r="I576" s="38"/>
      <c r="J576" s="37" t="str">
        <f t="shared" ref="J576" si="238">IF(I576&lt;&gt;"",IF(I576="Ketua Penguji",1,IF(I576="Anggota Penguji",0.5,"")),"rumus")</f>
        <v>rumus</v>
      </c>
      <c r="K576" s="35"/>
      <c r="L576" s="35"/>
      <c r="M576" s="35"/>
    </row>
    <row r="577" spans="1:14" ht="15" hidden="1" customHeight="1" x14ac:dyDescent="0.45">
      <c r="A577" s="67">
        <v>3</v>
      </c>
      <c r="B577" s="186" t="s">
        <v>97</v>
      </c>
      <c r="C577" s="28" t="s">
        <v>145</v>
      </c>
      <c r="D577" s="28" t="str">
        <f t="shared" si="234"/>
        <v/>
      </c>
      <c r="E577" s="256" t="str">
        <f t="shared" si="235"/>
        <v/>
      </c>
      <c r="F577" s="256" t="str">
        <f t="shared" si="236"/>
        <v/>
      </c>
      <c r="G577" s="159" t="str">
        <f t="shared" si="237"/>
        <v>rumus</v>
      </c>
      <c r="H577" s="39" t="s">
        <v>66</v>
      </c>
      <c r="I577" s="38"/>
      <c r="J577" s="37" t="str">
        <f>IF(I577&lt;&gt;"",IF(I577="Ketua Penguji",1,IF(I577="Anggota Penguji",0.5,"")),"rumus")</f>
        <v>rumus</v>
      </c>
      <c r="K577" s="35"/>
      <c r="L577" s="35"/>
      <c r="M577" s="35"/>
    </row>
    <row r="578" spans="1:14" ht="15" hidden="1" customHeight="1" x14ac:dyDescent="0.45">
      <c r="A578" s="67">
        <v>4</v>
      </c>
      <c r="B578" s="186" t="s">
        <v>97</v>
      </c>
      <c r="C578" s="28" t="s">
        <v>145</v>
      </c>
      <c r="D578" s="28" t="str">
        <f t="shared" si="234"/>
        <v/>
      </c>
      <c r="E578" s="256" t="str">
        <f t="shared" si="235"/>
        <v/>
      </c>
      <c r="F578" s="256" t="str">
        <f t="shared" si="236"/>
        <v/>
      </c>
      <c r="G578" s="159" t="str">
        <f t="shared" si="237"/>
        <v>rumus</v>
      </c>
      <c r="H578" s="39" t="s">
        <v>66</v>
      </c>
      <c r="I578" s="38"/>
      <c r="J578" s="37" t="str">
        <f t="shared" ref="J578:J584" si="239">IF(I578&lt;&gt;"",IF(I578="Ketua Penguji",1,IF(I578="Anggota Penguji",0.5,"")),"rumus")</f>
        <v>rumus</v>
      </c>
      <c r="K578" s="35"/>
      <c r="L578" s="35"/>
      <c r="M578" s="35"/>
    </row>
    <row r="579" spans="1:14" ht="15" hidden="1" customHeight="1" x14ac:dyDescent="0.45">
      <c r="A579" s="67">
        <v>5</v>
      </c>
      <c r="B579" s="186" t="s">
        <v>97</v>
      </c>
      <c r="C579" s="28" t="s">
        <v>145</v>
      </c>
      <c r="D579" s="28" t="str">
        <f t="shared" si="234"/>
        <v/>
      </c>
      <c r="E579" s="256" t="str">
        <f t="shared" si="235"/>
        <v/>
      </c>
      <c r="F579" s="256" t="str">
        <f t="shared" si="236"/>
        <v/>
      </c>
      <c r="G579" s="159" t="str">
        <f t="shared" si="237"/>
        <v>rumus</v>
      </c>
      <c r="H579" s="39" t="s">
        <v>66</v>
      </c>
      <c r="I579" s="38"/>
      <c r="J579" s="37" t="str">
        <f t="shared" si="239"/>
        <v>rumus</v>
      </c>
      <c r="K579" s="35"/>
      <c r="L579" s="35"/>
      <c r="M579" s="35"/>
    </row>
    <row r="580" spans="1:14" ht="15" hidden="1" customHeight="1" x14ac:dyDescent="0.45">
      <c r="A580" s="67">
        <v>6</v>
      </c>
      <c r="B580" s="186" t="s">
        <v>97</v>
      </c>
      <c r="C580" s="28" t="s">
        <v>145</v>
      </c>
      <c r="D580" s="28" t="str">
        <f t="shared" si="234"/>
        <v/>
      </c>
      <c r="E580" s="256" t="str">
        <f t="shared" si="235"/>
        <v/>
      </c>
      <c r="F580" s="256" t="str">
        <f t="shared" si="236"/>
        <v/>
      </c>
      <c r="G580" s="159" t="str">
        <f t="shared" si="237"/>
        <v>rumus</v>
      </c>
      <c r="H580" s="39" t="s">
        <v>66</v>
      </c>
      <c r="I580" s="38"/>
      <c r="J580" s="37" t="str">
        <f t="shared" si="239"/>
        <v>rumus</v>
      </c>
      <c r="K580" s="35"/>
      <c r="L580" s="35"/>
      <c r="M580" s="35"/>
    </row>
    <row r="581" spans="1:14" ht="15" hidden="1" customHeight="1" x14ac:dyDescent="0.45">
      <c r="A581" s="67">
        <v>7</v>
      </c>
      <c r="B581" s="186" t="s">
        <v>97</v>
      </c>
      <c r="C581" s="28" t="s">
        <v>145</v>
      </c>
      <c r="D581" s="28" t="str">
        <f t="shared" si="234"/>
        <v/>
      </c>
      <c r="E581" s="256" t="str">
        <f t="shared" si="235"/>
        <v/>
      </c>
      <c r="F581" s="256" t="str">
        <f t="shared" si="236"/>
        <v/>
      </c>
      <c r="G581" s="159" t="str">
        <f t="shared" si="237"/>
        <v>rumus</v>
      </c>
      <c r="H581" s="39" t="s">
        <v>66</v>
      </c>
      <c r="I581" s="38"/>
      <c r="J581" s="37" t="str">
        <f t="shared" si="239"/>
        <v>rumus</v>
      </c>
      <c r="K581" s="35"/>
      <c r="L581" s="35"/>
      <c r="M581" s="35"/>
    </row>
    <row r="582" spans="1:14" ht="15" hidden="1" customHeight="1" x14ac:dyDescent="0.45">
      <c r="A582" s="67">
        <v>8</v>
      </c>
      <c r="B582" s="186" t="s">
        <v>97</v>
      </c>
      <c r="C582" s="28" t="s">
        <v>145</v>
      </c>
      <c r="D582" s="28" t="str">
        <f t="shared" si="234"/>
        <v/>
      </c>
      <c r="E582" s="256" t="str">
        <f t="shared" si="235"/>
        <v/>
      </c>
      <c r="F582" s="256" t="str">
        <f t="shared" si="236"/>
        <v/>
      </c>
      <c r="G582" s="159" t="str">
        <f t="shared" si="237"/>
        <v>rumus</v>
      </c>
      <c r="H582" s="39" t="s">
        <v>66</v>
      </c>
      <c r="I582" s="38"/>
      <c r="J582" s="37" t="str">
        <f t="shared" si="239"/>
        <v>rumus</v>
      </c>
      <c r="K582" s="35"/>
      <c r="L582" s="35"/>
      <c r="M582" s="35"/>
    </row>
    <row r="583" spans="1:14" ht="15" hidden="1" customHeight="1" x14ac:dyDescent="0.45">
      <c r="A583" s="67">
        <v>9</v>
      </c>
      <c r="B583" s="186" t="s">
        <v>97</v>
      </c>
      <c r="C583" s="28" t="s">
        <v>145</v>
      </c>
      <c r="D583" s="28" t="str">
        <f t="shared" si="234"/>
        <v/>
      </c>
      <c r="E583" s="256" t="str">
        <f t="shared" si="235"/>
        <v/>
      </c>
      <c r="F583" s="256" t="str">
        <f t="shared" si="236"/>
        <v/>
      </c>
      <c r="G583" s="159" t="str">
        <f t="shared" si="237"/>
        <v>rumus</v>
      </c>
      <c r="H583" s="39" t="s">
        <v>66</v>
      </c>
      <c r="I583" s="38"/>
      <c r="J583" s="37" t="str">
        <f t="shared" si="239"/>
        <v>rumus</v>
      </c>
      <c r="K583" s="35"/>
      <c r="L583" s="35"/>
      <c r="M583" s="35"/>
    </row>
    <row r="584" spans="1:14" ht="15" hidden="1" customHeight="1" x14ac:dyDescent="0.45">
      <c r="A584" s="67">
        <v>10</v>
      </c>
      <c r="B584" s="186" t="s">
        <v>97</v>
      </c>
      <c r="C584" s="28" t="s">
        <v>145</v>
      </c>
      <c r="D584" s="28" t="str">
        <f t="shared" si="234"/>
        <v/>
      </c>
      <c r="E584" s="256" t="str">
        <f t="shared" si="235"/>
        <v/>
      </c>
      <c r="F584" s="256" t="str">
        <f t="shared" si="236"/>
        <v/>
      </c>
      <c r="G584" s="159" t="str">
        <f t="shared" si="237"/>
        <v>rumus</v>
      </c>
      <c r="H584" s="39" t="s">
        <v>66</v>
      </c>
      <c r="I584" s="38"/>
      <c r="J584" s="37" t="str">
        <f t="shared" si="239"/>
        <v>rumus</v>
      </c>
      <c r="K584" s="35"/>
      <c r="L584" s="35"/>
      <c r="M584" s="35"/>
    </row>
    <row r="585" spans="1:14" ht="15" hidden="1" customHeight="1" x14ac:dyDescent="0.45">
      <c r="A585" s="67"/>
      <c r="B585" s="168" t="str">
        <f>"a. Semester Gasal "&amp;IF(C586&lt;&gt;"",C586,"")&amp;" :"</f>
        <v>a. Semester Gasal 2009/2010 :</v>
      </c>
      <c r="C585" s="57"/>
      <c r="D585" s="57"/>
      <c r="E585" s="57"/>
      <c r="F585" s="57"/>
      <c r="G585" s="57"/>
      <c r="H585" s="124"/>
      <c r="I585" s="35"/>
      <c r="J585" s="35"/>
      <c r="K585" s="106">
        <f>IF(COUNTIF(I575:I584,"Ketua Penguji")&lt;=4,SUMIF(I575:I584,"Ketua Penguji",J575:J584),4*1)+IF(COUNTIF(I575:I584,"Anggota Penguji")&lt;=8,SUMIF(I575:I584,"Anggota Penguji",J575:J584),8*0.5)</f>
        <v>0</v>
      </c>
      <c r="L585" t="s">
        <v>282</v>
      </c>
      <c r="M585">
        <f>IF(COUNTIF(I575:I584,"Ketua Penguji")&lt;=4,SUMIF(I575:I584,"Ketua Penguji",J575:J584),4*1)</f>
        <v>0</v>
      </c>
      <c r="N585">
        <f>IF(COUNTIF(I575:I584,"Anggota Penguji")&lt;=8,SUMIF(I575:I584,"Anggota Penguji",J575:J584),8*0.5)</f>
        <v>0</v>
      </c>
    </row>
    <row r="586" spans="1:14" ht="14.55" hidden="1" customHeight="1" x14ac:dyDescent="0.45">
      <c r="A586" s="67">
        <v>1</v>
      </c>
      <c r="B586" s="186" t="s">
        <v>97</v>
      </c>
      <c r="C586" s="28" t="s">
        <v>146</v>
      </c>
      <c r="D586" s="28" t="str">
        <f t="shared" ref="D586:D595" si="240">IF(G586&lt;&gt;"rumus","Lulusan","")</f>
        <v/>
      </c>
      <c r="E586" s="256" t="str">
        <f t="shared" ref="E586:E595" si="241">IF(I586&lt;&gt;"",1,"")</f>
        <v/>
      </c>
      <c r="F586" s="256" t="str">
        <f>IF(I586&lt;&gt;"",J586,"")</f>
        <v/>
      </c>
      <c r="G586" s="159" t="str">
        <f>IF(J586&lt;&gt;"rumus","1 x "&amp;J586&amp;" = "&amp;J586,"rumus")</f>
        <v>rumus</v>
      </c>
      <c r="H586" s="28" t="s">
        <v>620</v>
      </c>
      <c r="I586" s="38"/>
      <c r="J586" s="37" t="str">
        <f>IF(I586&lt;&gt;"",IF(I586="Ketua Penguji",1,IF(I586="Anggota Penguji",0.5,"")),"rumus")</f>
        <v>rumus</v>
      </c>
      <c r="K586" s="35"/>
      <c r="L586" s="35"/>
      <c r="M586" s="35"/>
    </row>
    <row r="587" spans="1:14" ht="15" hidden="1" customHeight="1" x14ac:dyDescent="0.45">
      <c r="A587" s="67">
        <v>2</v>
      </c>
      <c r="B587" s="186" t="s">
        <v>97</v>
      </c>
      <c r="C587" s="28" t="s">
        <v>146</v>
      </c>
      <c r="D587" s="28" t="str">
        <f t="shared" si="240"/>
        <v/>
      </c>
      <c r="E587" s="256" t="str">
        <f t="shared" si="241"/>
        <v/>
      </c>
      <c r="F587" s="256" t="str">
        <f t="shared" ref="F587:F595" si="242">IF(I587&lt;&gt;"",J587,"")</f>
        <v/>
      </c>
      <c r="G587" s="159" t="str">
        <f t="shared" ref="G587:G595" si="243">IF(J587&lt;&gt;"rumus","1 x "&amp;J587&amp;" = "&amp;J587,"rumus")</f>
        <v>rumus</v>
      </c>
      <c r="H587" s="39" t="s">
        <v>66</v>
      </c>
      <c r="I587" s="38"/>
      <c r="J587" s="37" t="str">
        <f t="shared" ref="J587" si="244">IF(I587&lt;&gt;"",IF(I587="Ketua Penguji",1,IF(I587="Anggota Penguji",0.5,"")),"rumus")</f>
        <v>rumus</v>
      </c>
      <c r="K587" s="35"/>
      <c r="L587" s="35"/>
      <c r="M587" s="35"/>
    </row>
    <row r="588" spans="1:14" ht="15" hidden="1" customHeight="1" x14ac:dyDescent="0.45">
      <c r="A588" s="67">
        <v>3</v>
      </c>
      <c r="B588" s="186" t="s">
        <v>97</v>
      </c>
      <c r="C588" s="28" t="s">
        <v>146</v>
      </c>
      <c r="D588" s="28" t="str">
        <f t="shared" si="240"/>
        <v/>
      </c>
      <c r="E588" s="256" t="str">
        <f t="shared" si="241"/>
        <v/>
      </c>
      <c r="F588" s="256" t="str">
        <f t="shared" si="242"/>
        <v/>
      </c>
      <c r="G588" s="159" t="str">
        <f t="shared" si="243"/>
        <v>rumus</v>
      </c>
      <c r="H588" s="39" t="s">
        <v>66</v>
      </c>
      <c r="I588" s="38"/>
      <c r="J588" s="37" t="str">
        <f>IF(I588&lt;&gt;"",IF(I588="Ketua Penguji",1,IF(I588="Anggota Penguji",0.5,"")),"rumus")</f>
        <v>rumus</v>
      </c>
      <c r="K588" s="35"/>
      <c r="L588" s="35"/>
      <c r="M588" s="35"/>
    </row>
    <row r="589" spans="1:14" ht="15" hidden="1" customHeight="1" x14ac:dyDescent="0.45">
      <c r="A589" s="67">
        <v>4</v>
      </c>
      <c r="B589" s="186" t="s">
        <v>97</v>
      </c>
      <c r="C589" s="28" t="s">
        <v>146</v>
      </c>
      <c r="D589" s="28" t="str">
        <f t="shared" si="240"/>
        <v/>
      </c>
      <c r="E589" s="256" t="str">
        <f t="shared" si="241"/>
        <v/>
      </c>
      <c r="F589" s="256" t="str">
        <f t="shared" si="242"/>
        <v/>
      </c>
      <c r="G589" s="159" t="str">
        <f t="shared" si="243"/>
        <v>rumus</v>
      </c>
      <c r="H589" s="39" t="s">
        <v>66</v>
      </c>
      <c r="I589" s="38"/>
      <c r="J589" s="37" t="str">
        <f t="shared" ref="J589:J595" si="245">IF(I589&lt;&gt;"",IF(I589="Ketua Penguji",1,IF(I589="Anggota Penguji",0.5,"")),"rumus")</f>
        <v>rumus</v>
      </c>
      <c r="K589" s="35"/>
      <c r="L589" s="35"/>
      <c r="M589" s="35"/>
    </row>
    <row r="590" spans="1:14" ht="15" hidden="1" customHeight="1" x14ac:dyDescent="0.45">
      <c r="A590" s="67">
        <v>5</v>
      </c>
      <c r="B590" s="186" t="s">
        <v>97</v>
      </c>
      <c r="C590" s="28" t="s">
        <v>146</v>
      </c>
      <c r="D590" s="28" t="str">
        <f t="shared" si="240"/>
        <v/>
      </c>
      <c r="E590" s="256" t="str">
        <f t="shared" si="241"/>
        <v/>
      </c>
      <c r="F590" s="256" t="str">
        <f t="shared" si="242"/>
        <v/>
      </c>
      <c r="G590" s="159" t="str">
        <f t="shared" si="243"/>
        <v>rumus</v>
      </c>
      <c r="H590" s="39" t="s">
        <v>66</v>
      </c>
      <c r="I590" s="38"/>
      <c r="J590" s="37" t="str">
        <f t="shared" si="245"/>
        <v>rumus</v>
      </c>
      <c r="K590" s="35"/>
      <c r="L590" s="35"/>
      <c r="M590" s="35"/>
    </row>
    <row r="591" spans="1:14" ht="15" hidden="1" customHeight="1" x14ac:dyDescent="0.45">
      <c r="A591" s="67">
        <v>6</v>
      </c>
      <c r="B591" s="186" t="s">
        <v>97</v>
      </c>
      <c r="C591" s="28" t="s">
        <v>146</v>
      </c>
      <c r="D591" s="28" t="str">
        <f t="shared" si="240"/>
        <v/>
      </c>
      <c r="E591" s="256" t="str">
        <f t="shared" si="241"/>
        <v/>
      </c>
      <c r="F591" s="256" t="str">
        <f t="shared" si="242"/>
        <v/>
      </c>
      <c r="G591" s="159" t="str">
        <f t="shared" si="243"/>
        <v>rumus</v>
      </c>
      <c r="H591" s="39" t="s">
        <v>66</v>
      </c>
      <c r="I591" s="38"/>
      <c r="J591" s="37" t="str">
        <f t="shared" si="245"/>
        <v>rumus</v>
      </c>
      <c r="K591" s="35"/>
      <c r="L591" s="35"/>
      <c r="M591" s="35"/>
    </row>
    <row r="592" spans="1:14" ht="15" hidden="1" customHeight="1" x14ac:dyDescent="0.45">
      <c r="A592" s="67">
        <v>7</v>
      </c>
      <c r="B592" s="186" t="s">
        <v>97</v>
      </c>
      <c r="C592" s="28" t="s">
        <v>146</v>
      </c>
      <c r="D592" s="28" t="str">
        <f t="shared" si="240"/>
        <v/>
      </c>
      <c r="E592" s="256" t="str">
        <f t="shared" si="241"/>
        <v/>
      </c>
      <c r="F592" s="256" t="str">
        <f t="shared" si="242"/>
        <v/>
      </c>
      <c r="G592" s="159" t="str">
        <f t="shared" si="243"/>
        <v>rumus</v>
      </c>
      <c r="H592" s="39" t="s">
        <v>66</v>
      </c>
      <c r="I592" s="38"/>
      <c r="J592" s="37" t="str">
        <f t="shared" si="245"/>
        <v>rumus</v>
      </c>
      <c r="K592" s="35"/>
      <c r="L592" s="35"/>
      <c r="M592" s="35"/>
    </row>
    <row r="593" spans="1:14" ht="15" hidden="1" customHeight="1" x14ac:dyDescent="0.45">
      <c r="A593" s="67">
        <v>8</v>
      </c>
      <c r="B593" s="186" t="s">
        <v>97</v>
      </c>
      <c r="C593" s="28" t="s">
        <v>146</v>
      </c>
      <c r="D593" s="28" t="str">
        <f t="shared" si="240"/>
        <v/>
      </c>
      <c r="E593" s="256" t="str">
        <f t="shared" si="241"/>
        <v/>
      </c>
      <c r="F593" s="256" t="str">
        <f t="shared" si="242"/>
        <v/>
      </c>
      <c r="G593" s="159" t="str">
        <f t="shared" si="243"/>
        <v>rumus</v>
      </c>
      <c r="H593" s="39" t="s">
        <v>66</v>
      </c>
      <c r="I593" s="38"/>
      <c r="J593" s="37" t="str">
        <f t="shared" si="245"/>
        <v>rumus</v>
      </c>
      <c r="K593" s="35"/>
      <c r="L593" s="35"/>
      <c r="M593" s="35"/>
    </row>
    <row r="594" spans="1:14" ht="15" hidden="1" customHeight="1" x14ac:dyDescent="0.45">
      <c r="A594" s="67">
        <v>9</v>
      </c>
      <c r="B594" s="186" t="s">
        <v>97</v>
      </c>
      <c r="C594" s="28" t="s">
        <v>146</v>
      </c>
      <c r="D594" s="28" t="str">
        <f t="shared" si="240"/>
        <v/>
      </c>
      <c r="E594" s="256" t="str">
        <f t="shared" si="241"/>
        <v/>
      </c>
      <c r="F594" s="256" t="str">
        <f t="shared" si="242"/>
        <v/>
      </c>
      <c r="G594" s="159" t="str">
        <f t="shared" si="243"/>
        <v>rumus</v>
      </c>
      <c r="H594" s="39" t="s">
        <v>66</v>
      </c>
      <c r="I594" s="38"/>
      <c r="J594" s="37" t="str">
        <f t="shared" si="245"/>
        <v>rumus</v>
      </c>
      <c r="K594" s="35"/>
      <c r="L594" s="35"/>
      <c r="M594" s="35"/>
    </row>
    <row r="595" spans="1:14" ht="15" hidden="1" customHeight="1" x14ac:dyDescent="0.45">
      <c r="A595" s="67">
        <v>10</v>
      </c>
      <c r="B595" s="186" t="s">
        <v>97</v>
      </c>
      <c r="C595" s="28" t="s">
        <v>146</v>
      </c>
      <c r="D595" s="28" t="str">
        <f t="shared" si="240"/>
        <v/>
      </c>
      <c r="E595" s="256" t="str">
        <f t="shared" si="241"/>
        <v/>
      </c>
      <c r="F595" s="256" t="str">
        <f t="shared" si="242"/>
        <v/>
      </c>
      <c r="G595" s="159" t="str">
        <f t="shared" si="243"/>
        <v>rumus</v>
      </c>
      <c r="H595" s="39" t="s">
        <v>66</v>
      </c>
      <c r="I595" s="38"/>
      <c r="J595" s="37" t="str">
        <f t="shared" si="245"/>
        <v>rumus</v>
      </c>
      <c r="K595" s="35"/>
      <c r="L595" s="35"/>
      <c r="M595" s="35"/>
    </row>
    <row r="596" spans="1:14" ht="15" hidden="1" customHeight="1" x14ac:dyDescent="0.45">
      <c r="A596" s="67"/>
      <c r="B596" s="168" t="str">
        <f>"a. Semester Gasal "&amp;IF(C597&lt;&gt;"",C597,"")&amp;" :"</f>
        <v>a. Semester Gasal 2010/2011 :</v>
      </c>
      <c r="C596" s="57"/>
      <c r="D596" s="57"/>
      <c r="E596" s="57"/>
      <c r="F596" s="57"/>
      <c r="G596" s="57"/>
      <c r="H596" s="124"/>
      <c r="I596" s="35"/>
      <c r="J596" s="35"/>
      <c r="K596" s="106">
        <f>IF(COUNTIF(I586:I595,"Ketua Penguji")&lt;=4,SUMIF(I586:I595,"Ketua Penguji",J586:J595),4*1)+IF(COUNTIF(I586:I595,"Anggota Penguji")&lt;=8,SUMIF(I586:I595,"Anggota Penguji",J586:J595),8*0.5)</f>
        <v>0</v>
      </c>
      <c r="L596" t="s">
        <v>282</v>
      </c>
      <c r="M596">
        <f>IF(COUNTIF(I586:I595,"Ketua Penguji")&lt;=4,SUMIF(I586:I595,"Ketua Penguji",J586:J595),4*1)</f>
        <v>0</v>
      </c>
      <c r="N596">
        <f>IF(COUNTIF(I586:I595,"Anggota Penguji")&lt;=8,SUMIF(I586:I595,"Anggota Penguji",J586:J595),8*0.5)</f>
        <v>0</v>
      </c>
    </row>
    <row r="597" spans="1:14" ht="15" hidden="1" customHeight="1" x14ac:dyDescent="0.45">
      <c r="A597" s="67">
        <v>1</v>
      </c>
      <c r="B597" s="186" t="s">
        <v>97</v>
      </c>
      <c r="C597" s="28" t="s">
        <v>108</v>
      </c>
      <c r="D597" s="28" t="str">
        <f t="shared" ref="D597:D606" si="246">IF(G597&lt;&gt;"rumus","Lulusan","")</f>
        <v/>
      </c>
      <c r="E597" s="256" t="str">
        <f t="shared" ref="E597:E606" si="247">IF(I597&lt;&gt;"",1,"")</f>
        <v/>
      </c>
      <c r="F597" s="256" t="str">
        <f>IF(I597&lt;&gt;"",J597,"")</f>
        <v/>
      </c>
      <c r="G597" s="159" t="str">
        <f>IF(J597&lt;&gt;"rumus","1 x "&amp;J597&amp;" = "&amp;J597,"rumus")</f>
        <v>rumus</v>
      </c>
      <c r="H597" s="28" t="s">
        <v>620</v>
      </c>
      <c r="I597" s="38"/>
      <c r="J597" s="37" t="str">
        <f>IF(I597&lt;&gt;"",IF(I597="Ketua Penguji",1,IF(I597="Anggota Penguji",0.5,"")),"rumus")</f>
        <v>rumus</v>
      </c>
      <c r="K597" s="35"/>
      <c r="L597" s="35"/>
      <c r="M597" s="35"/>
    </row>
    <row r="598" spans="1:14" ht="15" hidden="1" customHeight="1" x14ac:dyDescent="0.45">
      <c r="A598" s="67">
        <v>2</v>
      </c>
      <c r="B598" s="186" t="s">
        <v>97</v>
      </c>
      <c r="C598" s="28" t="s">
        <v>108</v>
      </c>
      <c r="D598" s="28" t="str">
        <f t="shared" si="246"/>
        <v/>
      </c>
      <c r="E598" s="256" t="str">
        <f t="shared" si="247"/>
        <v/>
      </c>
      <c r="F598" s="256" t="str">
        <f t="shared" ref="F598:F606" si="248">IF(I598&lt;&gt;"",J598,"")</f>
        <v/>
      </c>
      <c r="G598" s="159" t="str">
        <f t="shared" ref="G598:G606" si="249">IF(J598&lt;&gt;"rumus","1 x "&amp;J598&amp;" = "&amp;J598,"rumus")</f>
        <v>rumus</v>
      </c>
      <c r="H598" s="39" t="s">
        <v>66</v>
      </c>
      <c r="I598" s="38"/>
      <c r="J598" s="37" t="str">
        <f t="shared" ref="J598" si="250">IF(I598&lt;&gt;"",IF(I598="Ketua Penguji",1,IF(I598="Anggota Penguji",0.5,"")),"rumus")</f>
        <v>rumus</v>
      </c>
      <c r="K598" s="35"/>
      <c r="L598" s="35"/>
      <c r="M598" s="35"/>
    </row>
    <row r="599" spans="1:14" ht="15" hidden="1" customHeight="1" x14ac:dyDescent="0.45">
      <c r="A599" s="67">
        <v>3</v>
      </c>
      <c r="B599" s="186" t="s">
        <v>97</v>
      </c>
      <c r="C599" s="28" t="s">
        <v>108</v>
      </c>
      <c r="D599" s="28" t="str">
        <f t="shared" si="246"/>
        <v/>
      </c>
      <c r="E599" s="256" t="str">
        <f t="shared" si="247"/>
        <v/>
      </c>
      <c r="F599" s="256" t="str">
        <f t="shared" si="248"/>
        <v/>
      </c>
      <c r="G599" s="159" t="str">
        <f t="shared" si="249"/>
        <v>rumus</v>
      </c>
      <c r="H599" s="39" t="s">
        <v>66</v>
      </c>
      <c r="I599" s="38"/>
      <c r="J599" s="37" t="str">
        <f>IF(I599&lt;&gt;"",IF(I599="Ketua Penguji",1,IF(I599="Anggota Penguji",0.5,"")),"rumus")</f>
        <v>rumus</v>
      </c>
      <c r="K599" s="35"/>
      <c r="L599" s="35"/>
      <c r="M599" s="35"/>
    </row>
    <row r="600" spans="1:14" ht="15" hidden="1" customHeight="1" x14ac:dyDescent="0.45">
      <c r="A600" s="67">
        <v>4</v>
      </c>
      <c r="B600" s="186" t="s">
        <v>97</v>
      </c>
      <c r="C600" s="28" t="s">
        <v>108</v>
      </c>
      <c r="D600" s="28" t="str">
        <f t="shared" si="246"/>
        <v/>
      </c>
      <c r="E600" s="256" t="str">
        <f t="shared" si="247"/>
        <v/>
      </c>
      <c r="F600" s="256" t="str">
        <f t="shared" si="248"/>
        <v/>
      </c>
      <c r="G600" s="159" t="str">
        <f t="shared" si="249"/>
        <v>rumus</v>
      </c>
      <c r="H600" s="39" t="s">
        <v>66</v>
      </c>
      <c r="I600" s="38"/>
      <c r="J600" s="37" t="str">
        <f t="shared" ref="J600:J606" si="251">IF(I600&lt;&gt;"",IF(I600="Ketua Penguji",1,IF(I600="Anggota Penguji",0.5,"")),"rumus")</f>
        <v>rumus</v>
      </c>
      <c r="K600" s="35"/>
      <c r="L600" s="35"/>
      <c r="M600" s="35"/>
    </row>
    <row r="601" spans="1:14" ht="15" hidden="1" customHeight="1" x14ac:dyDescent="0.45">
      <c r="A601" s="67">
        <v>5</v>
      </c>
      <c r="B601" s="186" t="s">
        <v>97</v>
      </c>
      <c r="C601" s="28" t="s">
        <v>108</v>
      </c>
      <c r="D601" s="28" t="str">
        <f t="shared" si="246"/>
        <v/>
      </c>
      <c r="E601" s="256" t="str">
        <f t="shared" si="247"/>
        <v/>
      </c>
      <c r="F601" s="256" t="str">
        <f t="shared" si="248"/>
        <v/>
      </c>
      <c r="G601" s="159" t="str">
        <f t="shared" si="249"/>
        <v>rumus</v>
      </c>
      <c r="H601" s="39" t="s">
        <v>66</v>
      </c>
      <c r="I601" s="38"/>
      <c r="J601" s="37" t="str">
        <f t="shared" si="251"/>
        <v>rumus</v>
      </c>
      <c r="K601" s="35"/>
      <c r="L601" s="35"/>
      <c r="M601" s="35"/>
    </row>
    <row r="602" spans="1:14" ht="15" hidden="1" customHeight="1" x14ac:dyDescent="0.45">
      <c r="A602" s="67">
        <v>6</v>
      </c>
      <c r="B602" s="186" t="s">
        <v>97</v>
      </c>
      <c r="C602" s="28" t="s">
        <v>108</v>
      </c>
      <c r="D602" s="28" t="str">
        <f t="shared" si="246"/>
        <v/>
      </c>
      <c r="E602" s="256" t="str">
        <f t="shared" si="247"/>
        <v/>
      </c>
      <c r="F602" s="256" t="str">
        <f t="shared" si="248"/>
        <v/>
      </c>
      <c r="G602" s="159" t="str">
        <f t="shared" si="249"/>
        <v>rumus</v>
      </c>
      <c r="H602" s="39" t="s">
        <v>66</v>
      </c>
      <c r="I602" s="38"/>
      <c r="J602" s="37" t="str">
        <f t="shared" si="251"/>
        <v>rumus</v>
      </c>
      <c r="K602" s="35"/>
      <c r="L602" s="35"/>
      <c r="M602" s="35"/>
    </row>
    <row r="603" spans="1:14" ht="15" hidden="1" customHeight="1" x14ac:dyDescent="0.45">
      <c r="A603" s="67">
        <v>7</v>
      </c>
      <c r="B603" s="186" t="s">
        <v>97</v>
      </c>
      <c r="C603" s="28" t="s">
        <v>108</v>
      </c>
      <c r="D603" s="28" t="str">
        <f t="shared" si="246"/>
        <v/>
      </c>
      <c r="E603" s="256" t="str">
        <f t="shared" si="247"/>
        <v/>
      </c>
      <c r="F603" s="256" t="str">
        <f t="shared" si="248"/>
        <v/>
      </c>
      <c r="G603" s="159" t="str">
        <f t="shared" si="249"/>
        <v>rumus</v>
      </c>
      <c r="H603" s="39" t="s">
        <v>66</v>
      </c>
      <c r="I603" s="38"/>
      <c r="J603" s="37" t="str">
        <f t="shared" si="251"/>
        <v>rumus</v>
      </c>
      <c r="K603" s="35"/>
      <c r="L603" s="35"/>
      <c r="M603" s="35"/>
    </row>
    <row r="604" spans="1:14" ht="15" hidden="1" customHeight="1" x14ac:dyDescent="0.45">
      <c r="A604" s="67">
        <v>8</v>
      </c>
      <c r="B604" s="186" t="s">
        <v>97</v>
      </c>
      <c r="C604" s="28" t="s">
        <v>108</v>
      </c>
      <c r="D604" s="28" t="str">
        <f t="shared" si="246"/>
        <v/>
      </c>
      <c r="E604" s="256" t="str">
        <f t="shared" si="247"/>
        <v/>
      </c>
      <c r="F604" s="256" t="str">
        <f t="shared" si="248"/>
        <v/>
      </c>
      <c r="G604" s="159" t="str">
        <f t="shared" si="249"/>
        <v>rumus</v>
      </c>
      <c r="H604" s="39" t="s">
        <v>66</v>
      </c>
      <c r="I604" s="38"/>
      <c r="J604" s="37" t="str">
        <f t="shared" si="251"/>
        <v>rumus</v>
      </c>
      <c r="K604" s="35"/>
      <c r="L604" s="35"/>
      <c r="M604" s="35"/>
    </row>
    <row r="605" spans="1:14" ht="15" hidden="1" customHeight="1" x14ac:dyDescent="0.45">
      <c r="A605" s="67">
        <v>9</v>
      </c>
      <c r="B605" s="186" t="s">
        <v>97</v>
      </c>
      <c r="C605" s="28" t="s">
        <v>108</v>
      </c>
      <c r="D605" s="28" t="str">
        <f t="shared" si="246"/>
        <v/>
      </c>
      <c r="E605" s="256" t="str">
        <f t="shared" si="247"/>
        <v/>
      </c>
      <c r="F605" s="256" t="str">
        <f t="shared" si="248"/>
        <v/>
      </c>
      <c r="G605" s="159" t="str">
        <f t="shared" si="249"/>
        <v>rumus</v>
      </c>
      <c r="H605" s="39" t="s">
        <v>66</v>
      </c>
      <c r="I605" s="38"/>
      <c r="J605" s="37" t="str">
        <f t="shared" si="251"/>
        <v>rumus</v>
      </c>
      <c r="K605" s="35"/>
      <c r="L605" s="35"/>
      <c r="M605" s="35"/>
    </row>
    <row r="606" spans="1:14" ht="15" hidden="1" customHeight="1" x14ac:dyDescent="0.45">
      <c r="A606" s="67">
        <v>10</v>
      </c>
      <c r="B606" s="186" t="s">
        <v>97</v>
      </c>
      <c r="C606" s="28" t="s">
        <v>108</v>
      </c>
      <c r="D606" s="28" t="str">
        <f t="shared" si="246"/>
        <v/>
      </c>
      <c r="E606" s="256" t="str">
        <f t="shared" si="247"/>
        <v/>
      </c>
      <c r="F606" s="256" t="str">
        <f t="shared" si="248"/>
        <v/>
      </c>
      <c r="G606" s="159" t="str">
        <f t="shared" si="249"/>
        <v>rumus</v>
      </c>
      <c r="H606" s="39" t="s">
        <v>66</v>
      </c>
      <c r="I606" s="38"/>
      <c r="J606" s="37" t="str">
        <f t="shared" si="251"/>
        <v>rumus</v>
      </c>
      <c r="K606" s="35"/>
      <c r="L606" s="35"/>
      <c r="M606" s="35"/>
    </row>
    <row r="607" spans="1:14" ht="15" hidden="1" customHeight="1" x14ac:dyDescent="0.45">
      <c r="A607" s="67"/>
      <c r="B607" s="168" t="str">
        <f>"a. Semester Gasal "&amp;IF(C608&lt;&gt;"",C608,"")&amp;" :"</f>
        <v>a. Semester Gasal 2011/2012 :</v>
      </c>
      <c r="C607" s="57"/>
      <c r="D607" s="57"/>
      <c r="E607" s="57"/>
      <c r="F607" s="57"/>
      <c r="G607" s="57"/>
      <c r="H607" s="124"/>
      <c r="I607" s="35"/>
      <c r="J607" s="35"/>
      <c r="K607" s="106">
        <f>IF(COUNTIF(I597:I606,"Ketua Penguji")&lt;=4,SUMIF(I597:I606,"Ketua Penguji",J597:J606),4*1)+IF(COUNTIF(I597:I606,"Anggota Penguji")&lt;=8,SUMIF(I597:I606,"Anggota Penguji",J597:J606),8*0.5)</f>
        <v>0</v>
      </c>
      <c r="L607" t="s">
        <v>282</v>
      </c>
      <c r="M607">
        <f>IF(COUNTIF(I597:I606,"Ketua Penguji")&lt;=4,SUMIF(I597:I606,"Ketua Penguji",J597:J606),4*1)</f>
        <v>0</v>
      </c>
      <c r="N607">
        <f>IF(COUNTIF(I597:I606,"Anggota Penguji")&lt;=8,SUMIF(I597:I606,"Anggota Penguji",J597:J606),8*0.5)</f>
        <v>0</v>
      </c>
    </row>
    <row r="608" spans="1:14" ht="15" hidden="1" customHeight="1" x14ac:dyDescent="0.45">
      <c r="A608" s="67">
        <v>1</v>
      </c>
      <c r="B608" s="186" t="s">
        <v>97</v>
      </c>
      <c r="C608" s="28" t="s">
        <v>112</v>
      </c>
      <c r="D608" s="28" t="str">
        <f t="shared" ref="D608:D617" si="252">IF(G608&lt;&gt;"rumus","Lulusan","")</f>
        <v/>
      </c>
      <c r="E608" s="256" t="str">
        <f t="shared" ref="E608:E617" si="253">IF(I608&lt;&gt;"",1,"")</f>
        <v/>
      </c>
      <c r="F608" s="256" t="str">
        <f>IF(I608&lt;&gt;"",J608,"")</f>
        <v/>
      </c>
      <c r="G608" s="159" t="str">
        <f>IF(J608&lt;&gt;"rumus","1 x "&amp;J608&amp;" = "&amp;J608,"rumus")</f>
        <v>rumus</v>
      </c>
      <c r="H608" s="28" t="s">
        <v>620</v>
      </c>
      <c r="I608" s="38"/>
      <c r="J608" s="37" t="str">
        <f>IF(I608&lt;&gt;"",IF(I608="Ketua Penguji",1,IF(I608="Anggota Penguji",0.5,"")),"rumus")</f>
        <v>rumus</v>
      </c>
      <c r="K608" s="35"/>
      <c r="L608" s="35"/>
      <c r="M608" s="35"/>
    </row>
    <row r="609" spans="1:14" ht="15" hidden="1" customHeight="1" x14ac:dyDescent="0.45">
      <c r="A609" s="67">
        <v>2</v>
      </c>
      <c r="B609" s="186" t="s">
        <v>97</v>
      </c>
      <c r="C609" s="28" t="s">
        <v>112</v>
      </c>
      <c r="D609" s="28" t="str">
        <f t="shared" si="252"/>
        <v/>
      </c>
      <c r="E609" s="256" t="str">
        <f t="shared" si="253"/>
        <v/>
      </c>
      <c r="F609" s="256" t="str">
        <f t="shared" ref="F609:F617" si="254">IF(I609&lt;&gt;"",J609,"")</f>
        <v/>
      </c>
      <c r="G609" s="159" t="str">
        <f t="shared" ref="G609:G617" si="255">IF(J609&lt;&gt;"rumus","1 x "&amp;J609&amp;" = "&amp;J609,"rumus")</f>
        <v>rumus</v>
      </c>
      <c r="H609" s="39" t="s">
        <v>66</v>
      </c>
      <c r="I609" s="38"/>
      <c r="J609" s="37" t="str">
        <f t="shared" ref="J609" si="256">IF(I609&lt;&gt;"",IF(I609="Ketua Penguji",1,IF(I609="Anggota Penguji",0.5,"")),"rumus")</f>
        <v>rumus</v>
      </c>
      <c r="K609" s="35"/>
      <c r="L609" s="35"/>
      <c r="M609" s="35"/>
    </row>
    <row r="610" spans="1:14" ht="15" hidden="1" customHeight="1" x14ac:dyDescent="0.45">
      <c r="A610" s="67">
        <v>3</v>
      </c>
      <c r="B610" s="186" t="s">
        <v>97</v>
      </c>
      <c r="C610" s="28" t="s">
        <v>112</v>
      </c>
      <c r="D610" s="28" t="str">
        <f t="shared" si="252"/>
        <v/>
      </c>
      <c r="E610" s="256" t="str">
        <f t="shared" si="253"/>
        <v/>
      </c>
      <c r="F610" s="256" t="str">
        <f t="shared" si="254"/>
        <v/>
      </c>
      <c r="G610" s="159" t="str">
        <f t="shared" si="255"/>
        <v>rumus</v>
      </c>
      <c r="H610" s="39" t="s">
        <v>66</v>
      </c>
      <c r="I610" s="38"/>
      <c r="J610" s="37" t="str">
        <f>IF(I610&lt;&gt;"",IF(I610="Ketua Penguji",1,IF(I610="Anggota Penguji",0.5,"")),"rumus")</f>
        <v>rumus</v>
      </c>
      <c r="K610" s="35"/>
      <c r="L610" s="35"/>
      <c r="M610" s="35"/>
    </row>
    <row r="611" spans="1:14" ht="15" hidden="1" customHeight="1" x14ac:dyDescent="0.45">
      <c r="A611" s="67">
        <v>4</v>
      </c>
      <c r="B611" s="186" t="s">
        <v>97</v>
      </c>
      <c r="C611" s="28" t="s">
        <v>112</v>
      </c>
      <c r="D611" s="28" t="str">
        <f t="shared" si="252"/>
        <v/>
      </c>
      <c r="E611" s="256" t="str">
        <f t="shared" si="253"/>
        <v/>
      </c>
      <c r="F611" s="256" t="str">
        <f t="shared" si="254"/>
        <v/>
      </c>
      <c r="G611" s="159" t="str">
        <f t="shared" si="255"/>
        <v>rumus</v>
      </c>
      <c r="H611" s="39" t="s">
        <v>66</v>
      </c>
      <c r="I611" s="38"/>
      <c r="J611" s="37" t="str">
        <f t="shared" ref="J611:J617" si="257">IF(I611&lt;&gt;"",IF(I611="Ketua Penguji",1,IF(I611="Anggota Penguji",0.5,"")),"rumus")</f>
        <v>rumus</v>
      </c>
      <c r="K611" s="35"/>
      <c r="L611" s="35"/>
      <c r="M611" s="35"/>
    </row>
    <row r="612" spans="1:14" ht="15" hidden="1" customHeight="1" x14ac:dyDescent="0.45">
      <c r="A612" s="67">
        <v>5</v>
      </c>
      <c r="B612" s="186" t="s">
        <v>97</v>
      </c>
      <c r="C612" s="28" t="s">
        <v>112</v>
      </c>
      <c r="D612" s="28" t="str">
        <f t="shared" si="252"/>
        <v/>
      </c>
      <c r="E612" s="256" t="str">
        <f t="shared" si="253"/>
        <v/>
      </c>
      <c r="F612" s="256" t="str">
        <f t="shared" si="254"/>
        <v/>
      </c>
      <c r="G612" s="159" t="str">
        <f t="shared" si="255"/>
        <v>rumus</v>
      </c>
      <c r="H612" s="39" t="s">
        <v>66</v>
      </c>
      <c r="I612" s="38"/>
      <c r="J612" s="37" t="str">
        <f t="shared" si="257"/>
        <v>rumus</v>
      </c>
      <c r="K612" s="35"/>
      <c r="L612" s="35"/>
      <c r="M612" s="35"/>
    </row>
    <row r="613" spans="1:14" ht="15" hidden="1" customHeight="1" x14ac:dyDescent="0.45">
      <c r="A613" s="67">
        <v>6</v>
      </c>
      <c r="B613" s="186" t="s">
        <v>97</v>
      </c>
      <c r="C613" s="28" t="s">
        <v>112</v>
      </c>
      <c r="D613" s="28" t="str">
        <f t="shared" si="252"/>
        <v/>
      </c>
      <c r="E613" s="256" t="str">
        <f t="shared" si="253"/>
        <v/>
      </c>
      <c r="F613" s="256" t="str">
        <f t="shared" si="254"/>
        <v/>
      </c>
      <c r="G613" s="159" t="str">
        <f t="shared" si="255"/>
        <v>rumus</v>
      </c>
      <c r="H613" s="39" t="s">
        <v>66</v>
      </c>
      <c r="I613" s="38"/>
      <c r="J613" s="37" t="str">
        <f t="shared" si="257"/>
        <v>rumus</v>
      </c>
      <c r="K613" s="35"/>
      <c r="L613" s="35"/>
      <c r="M613" s="35"/>
    </row>
    <row r="614" spans="1:14" ht="15" hidden="1" customHeight="1" x14ac:dyDescent="0.45">
      <c r="A614" s="67">
        <v>7</v>
      </c>
      <c r="B614" s="186" t="s">
        <v>97</v>
      </c>
      <c r="C614" s="28" t="s">
        <v>112</v>
      </c>
      <c r="D614" s="28" t="str">
        <f t="shared" si="252"/>
        <v/>
      </c>
      <c r="E614" s="256" t="str">
        <f t="shared" si="253"/>
        <v/>
      </c>
      <c r="F614" s="256" t="str">
        <f t="shared" si="254"/>
        <v/>
      </c>
      <c r="G614" s="159" t="str">
        <f t="shared" si="255"/>
        <v>rumus</v>
      </c>
      <c r="H614" s="39" t="s">
        <v>66</v>
      </c>
      <c r="I614" s="38"/>
      <c r="J614" s="37" t="str">
        <f t="shared" si="257"/>
        <v>rumus</v>
      </c>
      <c r="K614" s="35"/>
      <c r="L614" s="35"/>
      <c r="M614" s="35"/>
    </row>
    <row r="615" spans="1:14" ht="15" hidden="1" customHeight="1" x14ac:dyDescent="0.45">
      <c r="A615" s="67">
        <v>8</v>
      </c>
      <c r="B615" s="186" t="s">
        <v>97</v>
      </c>
      <c r="C615" s="28" t="s">
        <v>112</v>
      </c>
      <c r="D615" s="28" t="str">
        <f t="shared" si="252"/>
        <v/>
      </c>
      <c r="E615" s="256" t="str">
        <f t="shared" si="253"/>
        <v/>
      </c>
      <c r="F615" s="256" t="str">
        <f t="shared" si="254"/>
        <v/>
      </c>
      <c r="G615" s="159" t="str">
        <f t="shared" si="255"/>
        <v>rumus</v>
      </c>
      <c r="H615" s="39" t="s">
        <v>66</v>
      </c>
      <c r="I615" s="38"/>
      <c r="J615" s="37" t="str">
        <f t="shared" si="257"/>
        <v>rumus</v>
      </c>
      <c r="K615" s="35"/>
      <c r="L615" s="35"/>
      <c r="M615" s="35"/>
    </row>
    <row r="616" spans="1:14" ht="15" hidden="1" customHeight="1" x14ac:dyDescent="0.45">
      <c r="A616" s="67">
        <v>9</v>
      </c>
      <c r="B616" s="186" t="s">
        <v>97</v>
      </c>
      <c r="C616" s="28" t="s">
        <v>112</v>
      </c>
      <c r="D616" s="28" t="str">
        <f t="shared" si="252"/>
        <v/>
      </c>
      <c r="E616" s="256" t="str">
        <f t="shared" si="253"/>
        <v/>
      </c>
      <c r="F616" s="256" t="str">
        <f t="shared" si="254"/>
        <v/>
      </c>
      <c r="G616" s="159" t="str">
        <f t="shared" si="255"/>
        <v>rumus</v>
      </c>
      <c r="H616" s="39" t="s">
        <v>66</v>
      </c>
      <c r="I616" s="38"/>
      <c r="J616" s="37" t="str">
        <f t="shared" si="257"/>
        <v>rumus</v>
      </c>
      <c r="K616" s="35"/>
      <c r="L616" s="35"/>
      <c r="M616" s="35"/>
    </row>
    <row r="617" spans="1:14" ht="15" hidden="1" customHeight="1" x14ac:dyDescent="0.45">
      <c r="A617" s="67">
        <v>10</v>
      </c>
      <c r="B617" s="186" t="s">
        <v>97</v>
      </c>
      <c r="C617" s="28" t="s">
        <v>112</v>
      </c>
      <c r="D617" s="28" t="str">
        <f t="shared" si="252"/>
        <v/>
      </c>
      <c r="E617" s="256" t="str">
        <f t="shared" si="253"/>
        <v/>
      </c>
      <c r="F617" s="256" t="str">
        <f t="shared" si="254"/>
        <v/>
      </c>
      <c r="G617" s="159" t="str">
        <f t="shared" si="255"/>
        <v>rumus</v>
      </c>
      <c r="H617" s="39" t="s">
        <v>66</v>
      </c>
      <c r="I617" s="38"/>
      <c r="J617" s="37" t="str">
        <f t="shared" si="257"/>
        <v>rumus</v>
      </c>
      <c r="K617" s="35"/>
      <c r="L617" s="35"/>
      <c r="M617" s="35"/>
    </row>
    <row r="618" spans="1:14" ht="15" hidden="1" customHeight="1" x14ac:dyDescent="0.45">
      <c r="A618" s="67"/>
      <c r="B618" s="168" t="str">
        <f>"a. Semester Gasal "&amp;IF(C619&lt;&gt;"",C619,"")&amp;" :"</f>
        <v>a. Semester Gasal 2012/2013 :</v>
      </c>
      <c r="C618" s="57"/>
      <c r="D618" s="57"/>
      <c r="E618" s="57"/>
      <c r="F618" s="57"/>
      <c r="G618" s="57"/>
      <c r="H618" s="124"/>
      <c r="I618" s="35"/>
      <c r="J618" s="35"/>
      <c r="K618" s="106">
        <f>IF(COUNTIF(I608:I617,"Ketua Penguji")&lt;=4,SUMIF(I608:I617,"Ketua Penguji",J608:J617),4*1)+IF(COUNTIF(I608:I617,"Anggota Penguji")&lt;=8,SUMIF(I608:I617,"Anggota Penguji",J608:J617),8*0.5)</f>
        <v>0</v>
      </c>
      <c r="L618" t="s">
        <v>282</v>
      </c>
      <c r="M618">
        <f>IF(COUNTIF(I608:I617,"Ketua Penguji")&lt;=4,SUMIF(I608:I617,"Ketua Penguji",J608:J617),4*1)</f>
        <v>0</v>
      </c>
      <c r="N618">
        <f>IF(COUNTIF(I608:I617,"Anggota Penguji")&lt;=8,SUMIF(I608:I617,"Anggota Penguji",J608:J617),8*0.5)</f>
        <v>0</v>
      </c>
    </row>
    <row r="619" spans="1:14" ht="14.55" hidden="1" customHeight="1" x14ac:dyDescent="0.45">
      <c r="A619" s="67">
        <v>1</v>
      </c>
      <c r="B619" s="186" t="s">
        <v>97</v>
      </c>
      <c r="C619" s="28" t="s">
        <v>113</v>
      </c>
      <c r="D619" s="28" t="str">
        <f t="shared" ref="D619:D628" si="258">IF(G619&lt;&gt;"rumus","Lulusan","")</f>
        <v/>
      </c>
      <c r="E619" s="256" t="str">
        <f t="shared" ref="E619:E628" si="259">IF(I619&lt;&gt;"",1,"")</f>
        <v/>
      </c>
      <c r="F619" s="256" t="str">
        <f>IF(I619&lt;&gt;"",J619,"")</f>
        <v/>
      </c>
      <c r="G619" s="159" t="str">
        <f>IF(J619&lt;&gt;"rumus","1 x "&amp;J619&amp;" = "&amp;J619,"rumus")</f>
        <v>rumus</v>
      </c>
      <c r="H619" s="28" t="s">
        <v>620</v>
      </c>
      <c r="I619" s="38"/>
      <c r="J619" s="37" t="str">
        <f>IF(I619&lt;&gt;"",IF(I619="Ketua Penguji",1,IF(I619="Anggota Penguji",0.5,"")),"rumus")</f>
        <v>rumus</v>
      </c>
      <c r="K619" s="35"/>
      <c r="L619" s="35"/>
      <c r="M619" s="35"/>
    </row>
    <row r="620" spans="1:14" ht="14.55" hidden="1" customHeight="1" x14ac:dyDescent="0.45">
      <c r="A620" s="67">
        <v>2</v>
      </c>
      <c r="B620" s="186" t="s">
        <v>97</v>
      </c>
      <c r="C620" s="28" t="s">
        <v>113</v>
      </c>
      <c r="D620" s="28" t="str">
        <f t="shared" si="258"/>
        <v/>
      </c>
      <c r="E620" s="256" t="str">
        <f t="shared" si="259"/>
        <v/>
      </c>
      <c r="F620" s="256" t="str">
        <f t="shared" ref="F620:F628" si="260">IF(I620&lt;&gt;"",J620,"")</f>
        <v/>
      </c>
      <c r="G620" s="159" t="str">
        <f t="shared" ref="G620:G628" si="261">IF(J620&lt;&gt;"rumus","1 x "&amp;J620&amp;" = "&amp;J620,"rumus")</f>
        <v>rumus</v>
      </c>
      <c r="H620" s="39" t="s">
        <v>66</v>
      </c>
      <c r="I620" s="38"/>
      <c r="J620" s="37" t="str">
        <f t="shared" ref="J620" si="262">IF(I620&lt;&gt;"",IF(I620="Ketua Penguji",1,IF(I620="Anggota Penguji",0.5,"")),"rumus")</f>
        <v>rumus</v>
      </c>
      <c r="K620" s="35"/>
      <c r="L620" s="35"/>
      <c r="M620" s="35"/>
    </row>
    <row r="621" spans="1:14" ht="14.55" hidden="1" customHeight="1" x14ac:dyDescent="0.45">
      <c r="A621" s="67">
        <v>3</v>
      </c>
      <c r="B621" s="186" t="s">
        <v>97</v>
      </c>
      <c r="C621" s="28" t="s">
        <v>113</v>
      </c>
      <c r="D621" s="28" t="str">
        <f t="shared" si="258"/>
        <v/>
      </c>
      <c r="E621" s="256" t="str">
        <f t="shared" si="259"/>
        <v/>
      </c>
      <c r="F621" s="256" t="str">
        <f t="shared" si="260"/>
        <v/>
      </c>
      <c r="G621" s="159" t="str">
        <f t="shared" si="261"/>
        <v>rumus</v>
      </c>
      <c r="H621" s="39" t="s">
        <v>66</v>
      </c>
      <c r="I621" s="38"/>
      <c r="J621" s="37" t="str">
        <f>IF(I621&lt;&gt;"",IF(I621="Ketua Penguji",1,IF(I621="Anggota Penguji",0.5,"")),"rumus")</f>
        <v>rumus</v>
      </c>
      <c r="K621" s="35"/>
      <c r="L621" s="35"/>
      <c r="M621" s="35"/>
    </row>
    <row r="622" spans="1:14" ht="14.55" hidden="1" customHeight="1" x14ac:dyDescent="0.45">
      <c r="A622" s="67">
        <v>4</v>
      </c>
      <c r="B622" s="186" t="s">
        <v>97</v>
      </c>
      <c r="C622" s="28" t="s">
        <v>113</v>
      </c>
      <c r="D622" s="28" t="str">
        <f t="shared" si="258"/>
        <v/>
      </c>
      <c r="E622" s="256" t="str">
        <f t="shared" si="259"/>
        <v/>
      </c>
      <c r="F622" s="256" t="str">
        <f t="shared" si="260"/>
        <v/>
      </c>
      <c r="G622" s="159" t="str">
        <f t="shared" si="261"/>
        <v>rumus</v>
      </c>
      <c r="H622" s="39" t="s">
        <v>66</v>
      </c>
      <c r="I622" s="38"/>
      <c r="J622" s="37" t="str">
        <f t="shared" ref="J622:J628" si="263">IF(I622&lt;&gt;"",IF(I622="Ketua Penguji",1,IF(I622="Anggota Penguji",0.5,"")),"rumus")</f>
        <v>rumus</v>
      </c>
      <c r="K622" s="35"/>
      <c r="L622" s="35"/>
      <c r="M622" s="35"/>
    </row>
    <row r="623" spans="1:14" ht="14.55" hidden="1" customHeight="1" x14ac:dyDescent="0.45">
      <c r="A623" s="67">
        <v>5</v>
      </c>
      <c r="B623" s="186" t="s">
        <v>97</v>
      </c>
      <c r="C623" s="28" t="s">
        <v>113</v>
      </c>
      <c r="D623" s="28" t="str">
        <f t="shared" si="258"/>
        <v/>
      </c>
      <c r="E623" s="256" t="str">
        <f t="shared" si="259"/>
        <v/>
      </c>
      <c r="F623" s="256" t="str">
        <f t="shared" si="260"/>
        <v/>
      </c>
      <c r="G623" s="159" t="str">
        <f t="shared" si="261"/>
        <v>rumus</v>
      </c>
      <c r="H623" s="39" t="s">
        <v>66</v>
      </c>
      <c r="I623" s="38"/>
      <c r="J623" s="37" t="str">
        <f t="shared" si="263"/>
        <v>rumus</v>
      </c>
      <c r="K623" s="35"/>
      <c r="L623" s="35"/>
      <c r="M623" s="35"/>
    </row>
    <row r="624" spans="1:14" ht="14.55" hidden="1" customHeight="1" x14ac:dyDescent="0.45">
      <c r="A624" s="67">
        <v>6</v>
      </c>
      <c r="B624" s="186" t="s">
        <v>97</v>
      </c>
      <c r="C624" s="28" t="s">
        <v>113</v>
      </c>
      <c r="D624" s="28" t="str">
        <f t="shared" si="258"/>
        <v/>
      </c>
      <c r="E624" s="256" t="str">
        <f t="shared" si="259"/>
        <v/>
      </c>
      <c r="F624" s="256" t="str">
        <f t="shared" si="260"/>
        <v/>
      </c>
      <c r="G624" s="159" t="str">
        <f t="shared" si="261"/>
        <v>rumus</v>
      </c>
      <c r="H624" s="39" t="s">
        <v>66</v>
      </c>
      <c r="I624" s="38"/>
      <c r="J624" s="37" t="str">
        <f t="shared" si="263"/>
        <v>rumus</v>
      </c>
      <c r="K624" s="35"/>
      <c r="L624" s="35"/>
      <c r="M624" s="35"/>
    </row>
    <row r="625" spans="1:14" ht="14.55" hidden="1" customHeight="1" x14ac:dyDescent="0.45">
      <c r="A625" s="67">
        <v>7</v>
      </c>
      <c r="B625" s="186" t="s">
        <v>97</v>
      </c>
      <c r="C625" s="28" t="s">
        <v>113</v>
      </c>
      <c r="D625" s="28" t="str">
        <f t="shared" si="258"/>
        <v/>
      </c>
      <c r="E625" s="256" t="str">
        <f t="shared" si="259"/>
        <v/>
      </c>
      <c r="F625" s="256" t="str">
        <f t="shared" si="260"/>
        <v/>
      </c>
      <c r="G625" s="159" t="str">
        <f t="shared" si="261"/>
        <v>rumus</v>
      </c>
      <c r="H625" s="39" t="s">
        <v>66</v>
      </c>
      <c r="I625" s="38"/>
      <c r="J625" s="37" t="str">
        <f t="shared" si="263"/>
        <v>rumus</v>
      </c>
      <c r="K625" s="35"/>
      <c r="L625" s="35"/>
      <c r="M625" s="35"/>
    </row>
    <row r="626" spans="1:14" ht="14.55" hidden="1" customHeight="1" x14ac:dyDescent="0.45">
      <c r="A626" s="67">
        <v>8</v>
      </c>
      <c r="B626" s="186" t="s">
        <v>97</v>
      </c>
      <c r="C626" s="28" t="s">
        <v>113</v>
      </c>
      <c r="D626" s="28" t="str">
        <f t="shared" si="258"/>
        <v/>
      </c>
      <c r="E626" s="256" t="str">
        <f t="shared" si="259"/>
        <v/>
      </c>
      <c r="F626" s="256" t="str">
        <f t="shared" si="260"/>
        <v/>
      </c>
      <c r="G626" s="159" t="str">
        <f t="shared" si="261"/>
        <v>rumus</v>
      </c>
      <c r="H626" s="39" t="s">
        <v>66</v>
      </c>
      <c r="I626" s="38"/>
      <c r="J626" s="37" t="str">
        <f t="shared" si="263"/>
        <v>rumus</v>
      </c>
      <c r="K626" s="35"/>
      <c r="L626" s="35"/>
      <c r="M626" s="35"/>
    </row>
    <row r="627" spans="1:14" ht="14.55" hidden="1" customHeight="1" x14ac:dyDescent="0.45">
      <c r="A627" s="67">
        <v>9</v>
      </c>
      <c r="B627" s="186" t="s">
        <v>97</v>
      </c>
      <c r="C627" s="28" t="s">
        <v>113</v>
      </c>
      <c r="D627" s="28" t="str">
        <f t="shared" si="258"/>
        <v/>
      </c>
      <c r="E627" s="256" t="str">
        <f t="shared" si="259"/>
        <v/>
      </c>
      <c r="F627" s="256" t="str">
        <f t="shared" si="260"/>
        <v/>
      </c>
      <c r="G627" s="159" t="str">
        <f t="shared" si="261"/>
        <v>rumus</v>
      </c>
      <c r="H627" s="39" t="s">
        <v>66</v>
      </c>
      <c r="I627" s="38"/>
      <c r="J627" s="37" t="str">
        <f t="shared" si="263"/>
        <v>rumus</v>
      </c>
      <c r="K627" s="35"/>
      <c r="L627" s="35"/>
      <c r="M627" s="35"/>
    </row>
    <row r="628" spans="1:14" ht="14.55" hidden="1" customHeight="1" x14ac:dyDescent="0.45">
      <c r="A628" s="67">
        <v>10</v>
      </c>
      <c r="B628" s="186" t="s">
        <v>97</v>
      </c>
      <c r="C628" s="28" t="s">
        <v>113</v>
      </c>
      <c r="D628" s="28" t="str">
        <f t="shared" si="258"/>
        <v/>
      </c>
      <c r="E628" s="256" t="str">
        <f t="shared" si="259"/>
        <v/>
      </c>
      <c r="F628" s="256" t="str">
        <f t="shared" si="260"/>
        <v/>
      </c>
      <c r="G628" s="159" t="str">
        <f t="shared" si="261"/>
        <v>rumus</v>
      </c>
      <c r="H628" s="39" t="s">
        <v>66</v>
      </c>
      <c r="I628" s="38"/>
      <c r="J628" s="37" t="str">
        <f t="shared" si="263"/>
        <v>rumus</v>
      </c>
      <c r="K628" s="35"/>
      <c r="L628" s="35"/>
      <c r="M628" s="35"/>
    </row>
    <row r="629" spans="1:14" ht="14.55" hidden="1" customHeight="1" x14ac:dyDescent="0.45">
      <c r="A629" s="67"/>
      <c r="B629" s="168" t="str">
        <f>"a. Semester Gasal "&amp;IF(C630&lt;&gt;"",C630,"")&amp;" :"</f>
        <v>a. Semester Gasal 2013/2014 :</v>
      </c>
      <c r="C629" s="57"/>
      <c r="D629" s="57"/>
      <c r="E629" s="57"/>
      <c r="F629" s="57"/>
      <c r="G629" s="57"/>
      <c r="H629" s="124"/>
      <c r="I629" s="35"/>
      <c r="J629" s="35"/>
      <c r="K629" s="106">
        <f>IF(COUNTIF(I619:I628,"Ketua Penguji")&lt;=4,SUMIF(I619:I628,"Ketua Penguji",J619:J628),4*1)+IF(COUNTIF(I619:I628,"Anggota Penguji")&lt;=8,SUMIF(I619:I628,"Anggota Penguji",J619:J628),8*0.5)</f>
        <v>0</v>
      </c>
      <c r="L629" t="s">
        <v>282</v>
      </c>
      <c r="M629">
        <f>IF(COUNTIF(I619:I628,"Ketua Penguji")&lt;=4,SUMIF(I619:I628,"Ketua Penguji",J619:J628),4*1)</f>
        <v>0</v>
      </c>
      <c r="N629">
        <f>IF(COUNTIF(I619:I628,"Anggota Penguji")&lt;=8,SUMIF(I619:I628,"Anggota Penguji",J619:J628),8*0.5)</f>
        <v>0</v>
      </c>
    </row>
    <row r="630" spans="1:14" ht="14.55" hidden="1" customHeight="1" x14ac:dyDescent="0.45">
      <c r="A630" s="67">
        <v>1</v>
      </c>
      <c r="B630" s="186" t="s">
        <v>97</v>
      </c>
      <c r="C630" s="28" t="s">
        <v>114</v>
      </c>
      <c r="D630" s="28" t="str">
        <f t="shared" ref="D630:D639" si="264">IF(G630&lt;&gt;"rumus","Lulusan","")</f>
        <v/>
      </c>
      <c r="E630" s="256" t="str">
        <f t="shared" ref="E630:E639" si="265">IF(I630&lt;&gt;"",1,"")</f>
        <v/>
      </c>
      <c r="F630" s="256" t="str">
        <f>IF(I630&lt;&gt;"",J630,"")</f>
        <v/>
      </c>
      <c r="G630" s="159" t="str">
        <f>IF(J630&lt;&gt;"rumus","1 x "&amp;J630&amp;" = "&amp;J630,"rumus")</f>
        <v>rumus</v>
      </c>
      <c r="H630" s="28" t="s">
        <v>620</v>
      </c>
      <c r="I630" s="38"/>
      <c r="J630" s="37" t="str">
        <f>IF(I630&lt;&gt;"",IF(I630="Ketua Penguji",1,IF(I630="Anggota Penguji",0.5,"")),"rumus")</f>
        <v>rumus</v>
      </c>
      <c r="K630" s="35"/>
      <c r="L630" s="35"/>
      <c r="M630" s="35"/>
    </row>
    <row r="631" spans="1:14" ht="14.55" hidden="1" customHeight="1" x14ac:dyDescent="0.45">
      <c r="A631" s="67">
        <v>2</v>
      </c>
      <c r="B631" s="186" t="s">
        <v>97</v>
      </c>
      <c r="C631" s="28" t="s">
        <v>114</v>
      </c>
      <c r="D631" s="28" t="str">
        <f t="shared" si="264"/>
        <v/>
      </c>
      <c r="E631" s="256" t="str">
        <f t="shared" si="265"/>
        <v/>
      </c>
      <c r="F631" s="256" t="str">
        <f t="shared" ref="F631:F639" si="266">IF(I631&lt;&gt;"",J631,"")</f>
        <v/>
      </c>
      <c r="G631" s="159" t="str">
        <f t="shared" ref="G631:G639" si="267">IF(J631&lt;&gt;"rumus","1 x "&amp;J631&amp;" = "&amp;J631,"rumus")</f>
        <v>rumus</v>
      </c>
      <c r="H631" s="39" t="s">
        <v>66</v>
      </c>
      <c r="I631" s="38"/>
      <c r="J631" s="37" t="str">
        <f t="shared" ref="J631" si="268">IF(I631&lt;&gt;"",IF(I631="Ketua Penguji",1,IF(I631="Anggota Penguji",0.5,"")),"rumus")</f>
        <v>rumus</v>
      </c>
      <c r="K631" s="35"/>
      <c r="L631" s="35"/>
      <c r="M631" s="35"/>
    </row>
    <row r="632" spans="1:14" ht="14.55" hidden="1" customHeight="1" x14ac:dyDescent="0.45">
      <c r="A632" s="67">
        <v>3</v>
      </c>
      <c r="B632" s="186" t="s">
        <v>97</v>
      </c>
      <c r="C632" s="28" t="s">
        <v>114</v>
      </c>
      <c r="D632" s="28" t="str">
        <f t="shared" si="264"/>
        <v/>
      </c>
      <c r="E632" s="256" t="str">
        <f t="shared" si="265"/>
        <v/>
      </c>
      <c r="F632" s="256" t="str">
        <f t="shared" si="266"/>
        <v/>
      </c>
      <c r="G632" s="159" t="str">
        <f t="shared" si="267"/>
        <v>rumus</v>
      </c>
      <c r="H632" s="39" t="s">
        <v>66</v>
      </c>
      <c r="I632" s="38"/>
      <c r="J632" s="37" t="str">
        <f>IF(I632&lt;&gt;"",IF(I632="Ketua Penguji",1,IF(I632="Anggota Penguji",0.5,"")),"rumus")</f>
        <v>rumus</v>
      </c>
      <c r="K632" s="35"/>
      <c r="L632" s="35"/>
      <c r="M632" s="35"/>
    </row>
    <row r="633" spans="1:14" ht="14.55" hidden="1" customHeight="1" x14ac:dyDescent="0.45">
      <c r="A633" s="67">
        <v>4</v>
      </c>
      <c r="B633" s="186" t="s">
        <v>97</v>
      </c>
      <c r="C633" s="28" t="s">
        <v>114</v>
      </c>
      <c r="D633" s="28" t="str">
        <f t="shared" si="264"/>
        <v/>
      </c>
      <c r="E633" s="256" t="str">
        <f t="shared" si="265"/>
        <v/>
      </c>
      <c r="F633" s="256" t="str">
        <f t="shared" si="266"/>
        <v/>
      </c>
      <c r="G633" s="159" t="str">
        <f t="shared" si="267"/>
        <v>rumus</v>
      </c>
      <c r="H633" s="39" t="s">
        <v>66</v>
      </c>
      <c r="I633" s="38"/>
      <c r="J633" s="37" t="str">
        <f t="shared" ref="J633:J639" si="269">IF(I633&lt;&gt;"",IF(I633="Ketua Penguji",1,IF(I633="Anggota Penguji",0.5,"")),"rumus")</f>
        <v>rumus</v>
      </c>
      <c r="K633" s="35"/>
      <c r="L633" s="35"/>
      <c r="M633" s="35"/>
    </row>
    <row r="634" spans="1:14" ht="14.55" hidden="1" customHeight="1" x14ac:dyDescent="0.45">
      <c r="A634" s="67">
        <v>5</v>
      </c>
      <c r="B634" s="186" t="s">
        <v>97</v>
      </c>
      <c r="C634" s="28" t="s">
        <v>114</v>
      </c>
      <c r="D634" s="28" t="str">
        <f t="shared" si="264"/>
        <v/>
      </c>
      <c r="E634" s="256" t="str">
        <f t="shared" si="265"/>
        <v/>
      </c>
      <c r="F634" s="256" t="str">
        <f t="shared" si="266"/>
        <v/>
      </c>
      <c r="G634" s="159" t="str">
        <f t="shared" si="267"/>
        <v>rumus</v>
      </c>
      <c r="H634" s="39" t="s">
        <v>66</v>
      </c>
      <c r="I634" s="38"/>
      <c r="J634" s="37" t="str">
        <f t="shared" si="269"/>
        <v>rumus</v>
      </c>
      <c r="K634" s="35"/>
      <c r="L634" s="35"/>
      <c r="M634" s="35"/>
    </row>
    <row r="635" spans="1:14" ht="14.55" hidden="1" customHeight="1" x14ac:dyDescent="0.45">
      <c r="A635" s="67">
        <v>6</v>
      </c>
      <c r="B635" s="186" t="s">
        <v>97</v>
      </c>
      <c r="C635" s="28" t="s">
        <v>114</v>
      </c>
      <c r="D635" s="28" t="str">
        <f t="shared" si="264"/>
        <v/>
      </c>
      <c r="E635" s="256" t="str">
        <f t="shared" si="265"/>
        <v/>
      </c>
      <c r="F635" s="256" t="str">
        <f t="shared" si="266"/>
        <v/>
      </c>
      <c r="G635" s="159" t="str">
        <f t="shared" si="267"/>
        <v>rumus</v>
      </c>
      <c r="H635" s="39" t="s">
        <v>66</v>
      </c>
      <c r="I635" s="38"/>
      <c r="J635" s="37" t="str">
        <f t="shared" si="269"/>
        <v>rumus</v>
      </c>
      <c r="K635" s="35"/>
      <c r="L635" s="35"/>
      <c r="M635" s="35"/>
    </row>
    <row r="636" spans="1:14" ht="14.55" hidden="1" customHeight="1" x14ac:dyDescent="0.45">
      <c r="A636" s="67">
        <v>7</v>
      </c>
      <c r="B636" s="186" t="s">
        <v>97</v>
      </c>
      <c r="C636" s="28" t="s">
        <v>114</v>
      </c>
      <c r="D636" s="28" t="str">
        <f t="shared" si="264"/>
        <v/>
      </c>
      <c r="E636" s="256" t="str">
        <f t="shared" si="265"/>
        <v/>
      </c>
      <c r="F636" s="256" t="str">
        <f t="shared" si="266"/>
        <v/>
      </c>
      <c r="G636" s="159" t="str">
        <f t="shared" si="267"/>
        <v>rumus</v>
      </c>
      <c r="H636" s="39" t="s">
        <v>66</v>
      </c>
      <c r="I636" s="38"/>
      <c r="J636" s="37" t="str">
        <f t="shared" si="269"/>
        <v>rumus</v>
      </c>
      <c r="K636" s="35"/>
      <c r="L636" s="35"/>
      <c r="M636" s="35"/>
    </row>
    <row r="637" spans="1:14" ht="14.55" hidden="1" customHeight="1" x14ac:dyDescent="0.45">
      <c r="A637" s="67">
        <v>8</v>
      </c>
      <c r="B637" s="186" t="s">
        <v>97</v>
      </c>
      <c r="C637" s="28" t="s">
        <v>114</v>
      </c>
      <c r="D637" s="28" t="str">
        <f t="shared" si="264"/>
        <v/>
      </c>
      <c r="E637" s="256" t="str">
        <f t="shared" si="265"/>
        <v/>
      </c>
      <c r="F637" s="256" t="str">
        <f t="shared" si="266"/>
        <v/>
      </c>
      <c r="G637" s="159" t="str">
        <f t="shared" si="267"/>
        <v>rumus</v>
      </c>
      <c r="H637" s="39" t="s">
        <v>66</v>
      </c>
      <c r="I637" s="38"/>
      <c r="J637" s="37" t="str">
        <f t="shared" si="269"/>
        <v>rumus</v>
      </c>
      <c r="K637" s="35"/>
      <c r="L637" s="35"/>
      <c r="M637" s="35"/>
    </row>
    <row r="638" spans="1:14" ht="14.55" hidden="1" customHeight="1" x14ac:dyDescent="0.45">
      <c r="A638" s="67">
        <v>9</v>
      </c>
      <c r="B638" s="186" t="s">
        <v>97</v>
      </c>
      <c r="C638" s="28" t="s">
        <v>114</v>
      </c>
      <c r="D638" s="28" t="str">
        <f t="shared" si="264"/>
        <v/>
      </c>
      <c r="E638" s="256" t="str">
        <f t="shared" si="265"/>
        <v/>
      </c>
      <c r="F638" s="256" t="str">
        <f t="shared" si="266"/>
        <v/>
      </c>
      <c r="G638" s="159" t="str">
        <f t="shared" si="267"/>
        <v>rumus</v>
      </c>
      <c r="H638" s="39" t="s">
        <v>66</v>
      </c>
      <c r="I638" s="38"/>
      <c r="J638" s="37" t="str">
        <f t="shared" si="269"/>
        <v>rumus</v>
      </c>
      <c r="K638" s="35"/>
      <c r="L638" s="35"/>
      <c r="M638" s="35"/>
    </row>
    <row r="639" spans="1:14" ht="14.55" hidden="1" customHeight="1" x14ac:dyDescent="0.45">
      <c r="A639" s="67">
        <v>10</v>
      </c>
      <c r="B639" s="186" t="s">
        <v>97</v>
      </c>
      <c r="C639" s="28" t="s">
        <v>114</v>
      </c>
      <c r="D639" s="28" t="str">
        <f t="shared" si="264"/>
        <v/>
      </c>
      <c r="E639" s="256" t="str">
        <f t="shared" si="265"/>
        <v/>
      </c>
      <c r="F639" s="256" t="str">
        <f t="shared" si="266"/>
        <v/>
      </c>
      <c r="G639" s="159" t="str">
        <f t="shared" si="267"/>
        <v>rumus</v>
      </c>
      <c r="H639" s="39" t="s">
        <v>66</v>
      </c>
      <c r="I639" s="38"/>
      <c r="J639" s="37" t="str">
        <f t="shared" si="269"/>
        <v>rumus</v>
      </c>
      <c r="K639" s="35"/>
      <c r="L639" s="35"/>
      <c r="M639" s="35"/>
    </row>
    <row r="640" spans="1:14" ht="14.55" hidden="1" customHeight="1" x14ac:dyDescent="0.45">
      <c r="A640" s="67"/>
      <c r="B640" s="168" t="str">
        <f>"a. Semester Gasal "&amp;IF(C641&lt;&gt;"",C641,"")&amp;" :"</f>
        <v>a. Semester Gasal 2014/2015 :</v>
      </c>
      <c r="C640" s="57"/>
      <c r="D640" s="57"/>
      <c r="E640" s="57"/>
      <c r="F640" s="57"/>
      <c r="G640" s="57"/>
      <c r="H640" s="185"/>
      <c r="I640" s="35"/>
      <c r="J640" s="35"/>
      <c r="K640" s="106">
        <f>IF(COUNTIF(I630:I639,"Ketua Penguji")&lt;=4,SUMIF(I630:I639,"Ketua Penguji",J630:J639),4*1)+IF(COUNTIF(I630:I639,"Anggota Penguji")&lt;=8,SUMIF(I630:I639,"Anggota Penguji",J630:J639),8*0.5)</f>
        <v>0</v>
      </c>
      <c r="L640" t="s">
        <v>282</v>
      </c>
      <c r="M640">
        <f>IF(COUNTIF(I630:I639,"Ketua Penguji")&lt;=4,SUMIF(I630:I639,"Ketua Penguji",J630:J639),4*1)</f>
        <v>0</v>
      </c>
      <c r="N640">
        <f>IF(COUNTIF(I630:I639,"Anggota Penguji")&lt;=8,SUMIF(I630:I639,"Anggota Penguji",J630:J639),8*0.5)</f>
        <v>0</v>
      </c>
    </row>
    <row r="641" spans="1:14" ht="14.55" hidden="1" customHeight="1" x14ac:dyDescent="0.45">
      <c r="A641" s="67">
        <v>1</v>
      </c>
      <c r="B641" s="186" t="s">
        <v>97</v>
      </c>
      <c r="C641" s="28" t="s">
        <v>251</v>
      </c>
      <c r="D641" s="28" t="str">
        <f t="shared" ref="D641:D650" si="270">IF(G641&lt;&gt;"rumus","Lulusan","")</f>
        <v/>
      </c>
      <c r="E641" s="256" t="str">
        <f t="shared" ref="E641:E650" si="271">IF(I641&lt;&gt;"",1,"")</f>
        <v/>
      </c>
      <c r="F641" s="256" t="str">
        <f>IF(I641&lt;&gt;"",J641,"")</f>
        <v/>
      </c>
      <c r="G641" s="159" t="str">
        <f>IF(J641&lt;&gt;"rumus","1 x "&amp;J641&amp;" = "&amp;J641,"rumus")</f>
        <v>rumus</v>
      </c>
      <c r="H641" s="28" t="s">
        <v>620</v>
      </c>
      <c r="I641" s="38"/>
      <c r="J641" s="37" t="str">
        <f>IF(I641&lt;&gt;"",IF(I641="Ketua Penguji",1,IF(I641="Anggota Penguji",0.5,"")),"rumus")</f>
        <v>rumus</v>
      </c>
      <c r="K641" s="35"/>
      <c r="L641" s="35"/>
      <c r="M641" s="35"/>
    </row>
    <row r="642" spans="1:14" ht="14.55" hidden="1" customHeight="1" x14ac:dyDescent="0.45">
      <c r="A642" s="67">
        <v>2</v>
      </c>
      <c r="B642" s="186" t="s">
        <v>97</v>
      </c>
      <c r="C642" s="28" t="s">
        <v>251</v>
      </c>
      <c r="D642" s="28" t="str">
        <f t="shared" si="270"/>
        <v/>
      </c>
      <c r="E642" s="256" t="str">
        <f t="shared" si="271"/>
        <v/>
      </c>
      <c r="F642" s="256" t="str">
        <f t="shared" ref="F642:F650" si="272">IF(I642&lt;&gt;"",J642,"")</f>
        <v/>
      </c>
      <c r="G642" s="159" t="str">
        <f t="shared" ref="G642:G650" si="273">IF(J642&lt;&gt;"rumus","1 x "&amp;J642&amp;" = "&amp;J642,"rumus")</f>
        <v>rumus</v>
      </c>
      <c r="H642" s="39" t="s">
        <v>66</v>
      </c>
      <c r="I642" s="38"/>
      <c r="J642" s="37" t="str">
        <f t="shared" ref="J642" si="274">IF(I642&lt;&gt;"",IF(I642="Ketua Penguji",1,IF(I642="Anggota Penguji",0.5,"")),"rumus")</f>
        <v>rumus</v>
      </c>
      <c r="K642" s="35"/>
      <c r="L642" s="35"/>
      <c r="M642" s="35"/>
    </row>
    <row r="643" spans="1:14" ht="14.55" hidden="1" customHeight="1" x14ac:dyDescent="0.45">
      <c r="A643" s="67">
        <v>3</v>
      </c>
      <c r="B643" s="186" t="s">
        <v>97</v>
      </c>
      <c r="C643" s="28" t="s">
        <v>251</v>
      </c>
      <c r="D643" s="28" t="str">
        <f t="shared" si="270"/>
        <v/>
      </c>
      <c r="E643" s="256" t="str">
        <f t="shared" si="271"/>
        <v/>
      </c>
      <c r="F643" s="256" t="str">
        <f t="shared" si="272"/>
        <v/>
      </c>
      <c r="G643" s="159" t="str">
        <f t="shared" si="273"/>
        <v>rumus</v>
      </c>
      <c r="H643" s="39" t="s">
        <v>66</v>
      </c>
      <c r="I643" s="38"/>
      <c r="J643" s="37" t="str">
        <f>IF(I643&lt;&gt;"",IF(I643="Ketua Penguji",1,IF(I643="Anggota Penguji",0.5,"")),"rumus")</f>
        <v>rumus</v>
      </c>
      <c r="K643" s="35"/>
      <c r="L643" s="35"/>
      <c r="M643" s="35"/>
    </row>
    <row r="644" spans="1:14" ht="14.55" hidden="1" customHeight="1" x14ac:dyDescent="0.45">
      <c r="A644" s="67">
        <v>4</v>
      </c>
      <c r="B644" s="186" t="s">
        <v>97</v>
      </c>
      <c r="C644" s="28" t="s">
        <v>251</v>
      </c>
      <c r="D644" s="28" t="str">
        <f t="shared" si="270"/>
        <v/>
      </c>
      <c r="E644" s="256" t="str">
        <f t="shared" si="271"/>
        <v/>
      </c>
      <c r="F644" s="256" t="str">
        <f t="shared" si="272"/>
        <v/>
      </c>
      <c r="G644" s="159" t="str">
        <f t="shared" si="273"/>
        <v>rumus</v>
      </c>
      <c r="H644" s="39" t="s">
        <v>66</v>
      </c>
      <c r="I644" s="38"/>
      <c r="J644" s="37" t="str">
        <f t="shared" ref="J644:J650" si="275">IF(I644&lt;&gt;"",IF(I644="Ketua Penguji",1,IF(I644="Anggota Penguji",0.5,"")),"rumus")</f>
        <v>rumus</v>
      </c>
      <c r="K644" s="35"/>
      <c r="L644" s="35"/>
      <c r="M644" s="35"/>
    </row>
    <row r="645" spans="1:14" ht="14.55" hidden="1" customHeight="1" x14ac:dyDescent="0.45">
      <c r="A645" s="67">
        <v>5</v>
      </c>
      <c r="B645" s="186" t="s">
        <v>97</v>
      </c>
      <c r="C645" s="28" t="s">
        <v>251</v>
      </c>
      <c r="D645" s="28" t="str">
        <f t="shared" si="270"/>
        <v/>
      </c>
      <c r="E645" s="256" t="str">
        <f t="shared" si="271"/>
        <v/>
      </c>
      <c r="F645" s="256" t="str">
        <f t="shared" si="272"/>
        <v/>
      </c>
      <c r="G645" s="159" t="str">
        <f t="shared" si="273"/>
        <v>rumus</v>
      </c>
      <c r="H645" s="39" t="s">
        <v>66</v>
      </c>
      <c r="I645" s="38"/>
      <c r="J645" s="37" t="str">
        <f t="shared" si="275"/>
        <v>rumus</v>
      </c>
      <c r="K645" s="35"/>
      <c r="L645" s="35"/>
      <c r="M645" s="35"/>
    </row>
    <row r="646" spans="1:14" ht="14.55" hidden="1" customHeight="1" x14ac:dyDescent="0.45">
      <c r="A646" s="67">
        <v>6</v>
      </c>
      <c r="B646" s="186" t="s">
        <v>97</v>
      </c>
      <c r="C646" s="28" t="s">
        <v>251</v>
      </c>
      <c r="D646" s="28" t="str">
        <f t="shared" si="270"/>
        <v/>
      </c>
      <c r="E646" s="256" t="str">
        <f t="shared" si="271"/>
        <v/>
      </c>
      <c r="F646" s="256" t="str">
        <f t="shared" si="272"/>
        <v/>
      </c>
      <c r="G646" s="159" t="str">
        <f t="shared" si="273"/>
        <v>rumus</v>
      </c>
      <c r="H646" s="39" t="s">
        <v>66</v>
      </c>
      <c r="I646" s="38"/>
      <c r="J646" s="37" t="str">
        <f t="shared" si="275"/>
        <v>rumus</v>
      </c>
      <c r="K646" s="35"/>
      <c r="L646" s="35"/>
      <c r="M646" s="35"/>
    </row>
    <row r="647" spans="1:14" ht="14.55" hidden="1" customHeight="1" x14ac:dyDescent="0.45">
      <c r="A647" s="67">
        <v>7</v>
      </c>
      <c r="B647" s="186" t="s">
        <v>97</v>
      </c>
      <c r="C647" s="28" t="s">
        <v>251</v>
      </c>
      <c r="D647" s="28" t="str">
        <f t="shared" si="270"/>
        <v/>
      </c>
      <c r="E647" s="256" t="str">
        <f t="shared" si="271"/>
        <v/>
      </c>
      <c r="F647" s="256" t="str">
        <f t="shared" si="272"/>
        <v/>
      </c>
      <c r="G647" s="159" t="str">
        <f t="shared" si="273"/>
        <v>rumus</v>
      </c>
      <c r="H647" s="39" t="s">
        <v>66</v>
      </c>
      <c r="I647" s="38"/>
      <c r="J647" s="37" t="str">
        <f t="shared" si="275"/>
        <v>rumus</v>
      </c>
      <c r="K647" s="35"/>
      <c r="L647" s="35"/>
      <c r="M647" s="35"/>
    </row>
    <row r="648" spans="1:14" ht="14.55" hidden="1" customHeight="1" x14ac:dyDescent="0.45">
      <c r="A648" s="67">
        <v>8</v>
      </c>
      <c r="B648" s="186" t="s">
        <v>97</v>
      </c>
      <c r="C648" s="28" t="s">
        <v>251</v>
      </c>
      <c r="D648" s="28" t="str">
        <f t="shared" si="270"/>
        <v/>
      </c>
      <c r="E648" s="256" t="str">
        <f t="shared" si="271"/>
        <v/>
      </c>
      <c r="F648" s="256" t="str">
        <f t="shared" si="272"/>
        <v/>
      </c>
      <c r="G648" s="159" t="str">
        <f t="shared" si="273"/>
        <v>rumus</v>
      </c>
      <c r="H648" s="39" t="s">
        <v>66</v>
      </c>
      <c r="I648" s="38"/>
      <c r="J648" s="37" t="str">
        <f t="shared" si="275"/>
        <v>rumus</v>
      </c>
      <c r="K648" s="35"/>
      <c r="L648" s="35"/>
      <c r="M648" s="35"/>
    </row>
    <row r="649" spans="1:14" ht="14.55" hidden="1" customHeight="1" x14ac:dyDescent="0.45">
      <c r="A649" s="67">
        <v>9</v>
      </c>
      <c r="B649" s="186" t="s">
        <v>97</v>
      </c>
      <c r="C649" s="28" t="s">
        <v>251</v>
      </c>
      <c r="D649" s="28" t="str">
        <f t="shared" si="270"/>
        <v/>
      </c>
      <c r="E649" s="256" t="str">
        <f t="shared" si="271"/>
        <v/>
      </c>
      <c r="F649" s="256" t="str">
        <f t="shared" si="272"/>
        <v/>
      </c>
      <c r="G649" s="159" t="str">
        <f t="shared" si="273"/>
        <v>rumus</v>
      </c>
      <c r="H649" s="39" t="s">
        <v>66</v>
      </c>
      <c r="I649" s="38"/>
      <c r="J649" s="37" t="str">
        <f t="shared" si="275"/>
        <v>rumus</v>
      </c>
      <c r="K649" s="35"/>
      <c r="L649" s="35"/>
      <c r="M649" s="35"/>
    </row>
    <row r="650" spans="1:14" ht="14.55" hidden="1" customHeight="1" x14ac:dyDescent="0.45">
      <c r="A650" s="67">
        <v>10</v>
      </c>
      <c r="B650" s="186" t="s">
        <v>97</v>
      </c>
      <c r="C650" s="28" t="s">
        <v>251</v>
      </c>
      <c r="D650" s="28" t="str">
        <f t="shared" si="270"/>
        <v/>
      </c>
      <c r="E650" s="256" t="str">
        <f t="shared" si="271"/>
        <v/>
      </c>
      <c r="F650" s="256" t="str">
        <f t="shared" si="272"/>
        <v/>
      </c>
      <c r="G650" s="159" t="str">
        <f t="shared" si="273"/>
        <v>rumus</v>
      </c>
      <c r="H650" s="39" t="s">
        <v>66</v>
      </c>
      <c r="I650" s="38"/>
      <c r="J650" s="37" t="str">
        <f t="shared" si="275"/>
        <v>rumus</v>
      </c>
      <c r="K650" s="35"/>
      <c r="L650" s="35"/>
      <c r="M650" s="35"/>
    </row>
    <row r="651" spans="1:14" ht="14.55" hidden="1" customHeight="1" x14ac:dyDescent="0.45">
      <c r="A651" s="67"/>
      <c r="B651" s="168" t="str">
        <f>"a. Semester Gasal "&amp;IF(C652&lt;&gt;"",C652,"")&amp;" :"</f>
        <v>a. Semester Gasal 2016/2017 :</v>
      </c>
      <c r="C651" s="57"/>
      <c r="D651" s="57"/>
      <c r="E651" s="57"/>
      <c r="F651" s="57"/>
      <c r="G651" s="57"/>
      <c r="H651" s="185"/>
      <c r="I651" s="35"/>
      <c r="J651" s="35"/>
      <c r="K651" s="106">
        <f>IF(COUNTIF(I641:I650,"Ketua Penguji")&lt;=4,SUMIF(I641:I650,"Ketua Penguji",J641:J650),4*1)+IF(COUNTIF(I641:I650,"Anggota Penguji")&lt;=8,SUMIF(I641:I650,"Anggota Penguji",J641:J650),8*0.5)</f>
        <v>0</v>
      </c>
      <c r="L651" t="s">
        <v>282</v>
      </c>
      <c r="M651">
        <f>IF(COUNTIF(I641:I650,"Ketua Penguji")&lt;=4,SUMIF(I641:I650,"Ketua Penguji",J641:J650),4*1)</f>
        <v>0</v>
      </c>
      <c r="N651">
        <f>IF(COUNTIF(I641:I650,"Anggota Penguji")&lt;=8,SUMIF(I641:I650,"Anggota Penguji",J641:J650),8*0.5)</f>
        <v>0</v>
      </c>
    </row>
    <row r="652" spans="1:14" ht="14.55" hidden="1" customHeight="1" x14ac:dyDescent="0.45">
      <c r="A652" s="67">
        <v>1</v>
      </c>
      <c r="B652" s="199" t="s">
        <v>97</v>
      </c>
      <c r="C652" s="822" t="s">
        <v>798</v>
      </c>
      <c r="D652" s="28" t="str">
        <f t="shared" ref="D652:D661" si="276">IF(G652&lt;&gt;"rumus","Lulusan","")</f>
        <v/>
      </c>
      <c r="E652" s="256" t="str">
        <f t="shared" ref="E652:E661" si="277">IF(I652&lt;&gt;"",1,"")</f>
        <v/>
      </c>
      <c r="F652" s="256" t="str">
        <f>IF(I652&lt;&gt;"",J652,"")</f>
        <v/>
      </c>
      <c r="G652" s="159" t="str">
        <f>IF(J652&lt;&gt;"rumus","1 x "&amp;J652&amp;" = "&amp;J652,"rumus")</f>
        <v>rumus</v>
      </c>
      <c r="H652" s="820" t="s">
        <v>889</v>
      </c>
      <c r="I652" s="38"/>
      <c r="J652" s="37" t="str">
        <f>IF(I652&lt;&gt;"",IF(I652="Ketua Penguji",1,IF(I652="Anggota Penguji",0.5,"")),"rumus")</f>
        <v>rumus</v>
      </c>
      <c r="K652" s="35"/>
      <c r="L652" s="35"/>
      <c r="M652" s="35"/>
    </row>
    <row r="653" spans="1:14" ht="14.55" hidden="1" customHeight="1" x14ac:dyDescent="0.45">
      <c r="A653" s="67">
        <v>2</v>
      </c>
      <c r="B653" s="199" t="s">
        <v>97</v>
      </c>
      <c r="C653" s="28" t="s">
        <v>252</v>
      </c>
      <c r="D653" s="28" t="str">
        <f t="shared" si="276"/>
        <v/>
      </c>
      <c r="E653" s="256" t="str">
        <f t="shared" si="277"/>
        <v/>
      </c>
      <c r="F653" s="256" t="str">
        <f t="shared" ref="F653:F661" si="278">IF(I653&lt;&gt;"",J653,"")</f>
        <v/>
      </c>
      <c r="G653" s="159" t="str">
        <f t="shared" ref="G653:G661" si="279">IF(J653&lt;&gt;"rumus","1 x "&amp;J653&amp;" = "&amp;J653,"rumus")</f>
        <v>rumus</v>
      </c>
      <c r="H653" s="39" t="s">
        <v>66</v>
      </c>
      <c r="I653" s="38"/>
      <c r="J653" s="37" t="str">
        <f t="shared" ref="J653" si="280">IF(I653&lt;&gt;"",IF(I653="Ketua Penguji",1,IF(I653="Anggota Penguji",0.5,"")),"rumus")</f>
        <v>rumus</v>
      </c>
      <c r="K653" s="35"/>
      <c r="L653" s="35"/>
      <c r="M653" s="35"/>
    </row>
    <row r="654" spans="1:14" ht="14.55" hidden="1" customHeight="1" x14ac:dyDescent="0.45">
      <c r="A654" s="67">
        <v>3</v>
      </c>
      <c r="B654" s="186" t="s">
        <v>97</v>
      </c>
      <c r="C654" s="28" t="s">
        <v>252</v>
      </c>
      <c r="D654" s="28" t="str">
        <f t="shared" si="276"/>
        <v/>
      </c>
      <c r="E654" s="256" t="str">
        <f t="shared" si="277"/>
        <v/>
      </c>
      <c r="F654" s="256" t="str">
        <f t="shared" si="278"/>
        <v/>
      </c>
      <c r="G654" s="159" t="str">
        <f t="shared" si="279"/>
        <v>rumus</v>
      </c>
      <c r="H654" s="39" t="s">
        <v>66</v>
      </c>
      <c r="I654" s="38"/>
      <c r="J654" s="37" t="str">
        <f>IF(I654&lt;&gt;"",IF(I654="Ketua Penguji",1,IF(I654="Anggota Penguji",0.5,"")),"rumus")</f>
        <v>rumus</v>
      </c>
      <c r="K654" s="35"/>
      <c r="L654" s="35"/>
      <c r="M654" s="35"/>
    </row>
    <row r="655" spans="1:14" ht="14.55" hidden="1" customHeight="1" x14ac:dyDescent="0.45">
      <c r="A655" s="67">
        <v>4</v>
      </c>
      <c r="B655" s="186" t="s">
        <v>97</v>
      </c>
      <c r="C655" s="28" t="s">
        <v>252</v>
      </c>
      <c r="D655" s="28" t="str">
        <f t="shared" si="276"/>
        <v/>
      </c>
      <c r="E655" s="256" t="str">
        <f t="shared" si="277"/>
        <v/>
      </c>
      <c r="F655" s="256" t="str">
        <f t="shared" si="278"/>
        <v/>
      </c>
      <c r="G655" s="159" t="str">
        <f t="shared" si="279"/>
        <v>rumus</v>
      </c>
      <c r="H655" s="39" t="s">
        <v>66</v>
      </c>
      <c r="I655" s="38"/>
      <c r="J655" s="37" t="str">
        <f t="shared" ref="J655:J661" si="281">IF(I655&lt;&gt;"",IF(I655="Ketua Penguji",1,IF(I655="Anggota Penguji",0.5,"")),"rumus")</f>
        <v>rumus</v>
      </c>
      <c r="K655" s="35"/>
      <c r="L655" s="35"/>
      <c r="M655" s="35"/>
    </row>
    <row r="656" spans="1:14" ht="14.55" hidden="1" customHeight="1" x14ac:dyDescent="0.45">
      <c r="A656" s="67">
        <v>5</v>
      </c>
      <c r="B656" s="186" t="s">
        <v>97</v>
      </c>
      <c r="C656" s="28" t="s">
        <v>252</v>
      </c>
      <c r="D656" s="28" t="str">
        <f t="shared" si="276"/>
        <v/>
      </c>
      <c r="E656" s="256" t="str">
        <f t="shared" si="277"/>
        <v/>
      </c>
      <c r="F656" s="256" t="str">
        <f t="shared" si="278"/>
        <v/>
      </c>
      <c r="G656" s="159" t="str">
        <f t="shared" si="279"/>
        <v>rumus</v>
      </c>
      <c r="H656" s="39" t="s">
        <v>66</v>
      </c>
      <c r="I656" s="38"/>
      <c r="J656" s="37" t="str">
        <f t="shared" si="281"/>
        <v>rumus</v>
      </c>
      <c r="K656" s="35"/>
      <c r="L656" s="35"/>
      <c r="M656" s="35"/>
    </row>
    <row r="657" spans="1:14" ht="14.55" hidden="1" customHeight="1" x14ac:dyDescent="0.45">
      <c r="A657" s="67">
        <v>6</v>
      </c>
      <c r="B657" s="186" t="s">
        <v>97</v>
      </c>
      <c r="C657" s="28" t="s">
        <v>252</v>
      </c>
      <c r="D657" s="28" t="str">
        <f t="shared" si="276"/>
        <v/>
      </c>
      <c r="E657" s="256" t="str">
        <f t="shared" si="277"/>
        <v/>
      </c>
      <c r="F657" s="256" t="str">
        <f t="shared" si="278"/>
        <v/>
      </c>
      <c r="G657" s="159" t="str">
        <f t="shared" si="279"/>
        <v>rumus</v>
      </c>
      <c r="H657" s="39" t="s">
        <v>66</v>
      </c>
      <c r="I657" s="38"/>
      <c r="J657" s="37" t="str">
        <f t="shared" si="281"/>
        <v>rumus</v>
      </c>
      <c r="K657" s="35"/>
      <c r="L657" s="35"/>
      <c r="M657" s="35"/>
    </row>
    <row r="658" spans="1:14" ht="14.55" hidden="1" customHeight="1" x14ac:dyDescent="0.45">
      <c r="A658" s="67">
        <v>7</v>
      </c>
      <c r="B658" s="186" t="s">
        <v>97</v>
      </c>
      <c r="C658" s="28" t="s">
        <v>252</v>
      </c>
      <c r="D658" s="28" t="str">
        <f t="shared" si="276"/>
        <v/>
      </c>
      <c r="E658" s="256" t="str">
        <f t="shared" si="277"/>
        <v/>
      </c>
      <c r="F658" s="256" t="str">
        <f t="shared" si="278"/>
        <v/>
      </c>
      <c r="G658" s="159" t="str">
        <f t="shared" si="279"/>
        <v>rumus</v>
      </c>
      <c r="H658" s="39" t="s">
        <v>66</v>
      </c>
      <c r="I658" s="38"/>
      <c r="J658" s="37" t="str">
        <f t="shared" si="281"/>
        <v>rumus</v>
      </c>
      <c r="K658" s="35"/>
      <c r="L658" s="35"/>
      <c r="M658" s="35"/>
    </row>
    <row r="659" spans="1:14" ht="14.55" hidden="1" customHeight="1" x14ac:dyDescent="0.45">
      <c r="A659" s="67">
        <v>8</v>
      </c>
      <c r="B659" s="186" t="s">
        <v>97</v>
      </c>
      <c r="C659" s="28" t="s">
        <v>252</v>
      </c>
      <c r="D659" s="28" t="str">
        <f t="shared" si="276"/>
        <v/>
      </c>
      <c r="E659" s="256" t="str">
        <f t="shared" si="277"/>
        <v/>
      </c>
      <c r="F659" s="256" t="str">
        <f t="shared" si="278"/>
        <v/>
      </c>
      <c r="G659" s="159" t="str">
        <f t="shared" si="279"/>
        <v>rumus</v>
      </c>
      <c r="H659" s="39" t="s">
        <v>66</v>
      </c>
      <c r="I659" s="38"/>
      <c r="J659" s="37" t="str">
        <f t="shared" si="281"/>
        <v>rumus</v>
      </c>
      <c r="K659" s="35"/>
      <c r="L659" s="35"/>
      <c r="M659" s="35"/>
    </row>
    <row r="660" spans="1:14" ht="14.55" hidden="1" customHeight="1" x14ac:dyDescent="0.45">
      <c r="A660" s="67">
        <v>9</v>
      </c>
      <c r="B660" s="186" t="s">
        <v>97</v>
      </c>
      <c r="C660" s="28" t="s">
        <v>252</v>
      </c>
      <c r="D660" s="28" t="str">
        <f t="shared" si="276"/>
        <v/>
      </c>
      <c r="E660" s="256" t="str">
        <f t="shared" si="277"/>
        <v/>
      </c>
      <c r="F660" s="256" t="str">
        <f t="shared" si="278"/>
        <v/>
      </c>
      <c r="G660" s="159" t="str">
        <f t="shared" si="279"/>
        <v>rumus</v>
      </c>
      <c r="H660" s="39" t="s">
        <v>66</v>
      </c>
      <c r="I660" s="38"/>
      <c r="J660" s="37" t="str">
        <f t="shared" si="281"/>
        <v>rumus</v>
      </c>
      <c r="K660" s="35"/>
      <c r="L660" s="35"/>
      <c r="M660" s="35"/>
    </row>
    <row r="661" spans="1:14" ht="14.55" hidden="1" customHeight="1" x14ac:dyDescent="0.45">
      <c r="A661" s="67">
        <v>10</v>
      </c>
      <c r="B661" s="186" t="s">
        <v>97</v>
      </c>
      <c r="C661" s="28" t="s">
        <v>252</v>
      </c>
      <c r="D661" s="28" t="str">
        <f t="shared" si="276"/>
        <v/>
      </c>
      <c r="E661" s="256" t="str">
        <f t="shared" si="277"/>
        <v/>
      </c>
      <c r="F661" s="256" t="str">
        <f t="shared" si="278"/>
        <v/>
      </c>
      <c r="G661" s="159" t="str">
        <f t="shared" si="279"/>
        <v>rumus</v>
      </c>
      <c r="H661" s="39" t="s">
        <v>66</v>
      </c>
      <c r="I661" s="38"/>
      <c r="J661" s="37" t="str">
        <f t="shared" si="281"/>
        <v>rumus</v>
      </c>
      <c r="K661" s="35"/>
      <c r="L661" s="35"/>
      <c r="M661" s="35"/>
    </row>
    <row r="662" spans="1:14" ht="15" hidden="1" customHeight="1" x14ac:dyDescent="0.45">
      <c r="A662" s="67"/>
      <c r="B662" s="168" t="str">
        <f>"b. Semester Genap "&amp;IF(C663&lt;&gt;"",C663,"")&amp;" :"</f>
        <v>b. Semester Genap 2004/2005 :</v>
      </c>
      <c r="C662" s="57"/>
      <c r="D662" s="57"/>
      <c r="E662" s="57"/>
      <c r="F662" s="57"/>
      <c r="G662" s="57"/>
      <c r="H662" s="124"/>
      <c r="I662" s="35"/>
      <c r="J662" s="35"/>
      <c r="K662" s="106">
        <f>IF(COUNTIF(I652:I661,"Ketua Penguji")&lt;=4,SUMIF(I652:I661,"Ketua Penguji",J652:J661),4*1)+IF(COUNTIF(I652:I661,"Anggota Penguji")&lt;=8,SUMIF(I652:I661,"Anggota Penguji",J652:J661),8*0.5)</f>
        <v>0</v>
      </c>
      <c r="L662" t="s">
        <v>282</v>
      </c>
      <c r="M662">
        <f>IF(COUNTIF(I652:I661,"Ketua Penguji")&lt;=4,SUMIF(I652:I661,"Ketua Penguji",J652:J661),4*1)</f>
        <v>0</v>
      </c>
      <c r="N662">
        <f>IF(COUNTIF(I652:I661,"Anggota Penguji")&lt;=8,SUMIF(I652:I661,"Anggota Penguji",J652:J661),8*0.5)</f>
        <v>0</v>
      </c>
    </row>
    <row r="663" spans="1:14" ht="15" hidden="1" customHeight="1" x14ac:dyDescent="0.45">
      <c r="A663" s="67">
        <v>1</v>
      </c>
      <c r="B663" s="186" t="s">
        <v>97</v>
      </c>
      <c r="C663" s="28" t="s">
        <v>141</v>
      </c>
      <c r="D663" s="28" t="str">
        <f t="shared" ref="D663:D672" si="282">IF(G663&lt;&gt;"rumus","Lulusan","")</f>
        <v/>
      </c>
      <c r="E663" s="256" t="str">
        <f t="shared" ref="E663:E672" si="283">IF(I663&lt;&gt;"",1,"")</f>
        <v/>
      </c>
      <c r="F663" s="256" t="str">
        <f>IF(I663&lt;&gt;"",J663,"")</f>
        <v/>
      </c>
      <c r="G663" s="159" t="str">
        <f>IF(J663&lt;&gt;"rumus","1 x "&amp;J663&amp;" = "&amp;J663,"rumus")</f>
        <v>rumus</v>
      </c>
      <c r="H663" s="28" t="s">
        <v>620</v>
      </c>
      <c r="I663" s="38"/>
      <c r="J663" s="37" t="str">
        <f>IF(I663&lt;&gt;"",IF(I663="Ketua Penguji",1,IF(I663="Anggota Penguji",0.5,"")),"rumus")</f>
        <v>rumus</v>
      </c>
      <c r="K663" s="35"/>
      <c r="L663" s="35"/>
      <c r="M663" s="35"/>
    </row>
    <row r="664" spans="1:14" ht="15" hidden="1" customHeight="1" x14ac:dyDescent="0.45">
      <c r="A664" s="67">
        <v>2</v>
      </c>
      <c r="B664" s="186" t="s">
        <v>97</v>
      </c>
      <c r="C664" s="28" t="s">
        <v>141</v>
      </c>
      <c r="D664" s="28" t="str">
        <f t="shared" si="282"/>
        <v/>
      </c>
      <c r="E664" s="256" t="str">
        <f t="shared" si="283"/>
        <v/>
      </c>
      <c r="F664" s="256" t="str">
        <f t="shared" ref="F664:F672" si="284">IF(I664&lt;&gt;"",J664,"")</f>
        <v/>
      </c>
      <c r="G664" s="159" t="str">
        <f t="shared" ref="G664:G672" si="285">IF(J664&lt;&gt;"rumus","1 x "&amp;J664&amp;" = "&amp;J664,"rumus")</f>
        <v>rumus</v>
      </c>
      <c r="H664" s="39" t="s">
        <v>66</v>
      </c>
      <c r="I664" s="38"/>
      <c r="J664" s="37" t="str">
        <f t="shared" ref="J664" si="286">IF(I664&lt;&gt;"",IF(I664="Ketua Penguji",1,IF(I664="Anggota Penguji",0.5,"")),"rumus")</f>
        <v>rumus</v>
      </c>
      <c r="K664" s="35"/>
      <c r="L664" s="35"/>
      <c r="M664" s="35"/>
    </row>
    <row r="665" spans="1:14" ht="15" hidden="1" customHeight="1" x14ac:dyDescent="0.45">
      <c r="A665" s="67">
        <v>3</v>
      </c>
      <c r="B665" s="186" t="s">
        <v>97</v>
      </c>
      <c r="C665" s="28" t="s">
        <v>141</v>
      </c>
      <c r="D665" s="28" t="str">
        <f t="shared" si="282"/>
        <v/>
      </c>
      <c r="E665" s="256" t="str">
        <f t="shared" si="283"/>
        <v/>
      </c>
      <c r="F665" s="256" t="str">
        <f t="shared" si="284"/>
        <v/>
      </c>
      <c r="G665" s="159" t="str">
        <f t="shared" si="285"/>
        <v>rumus</v>
      </c>
      <c r="H665" s="39" t="s">
        <v>66</v>
      </c>
      <c r="I665" s="38"/>
      <c r="J665" s="37" t="str">
        <f>IF(I665&lt;&gt;"",IF(I665="Ketua Penguji",1,IF(I665="Anggota Penguji",0.5,"")),"rumus")</f>
        <v>rumus</v>
      </c>
      <c r="K665" s="35"/>
      <c r="L665" s="35"/>
      <c r="M665" s="35"/>
    </row>
    <row r="666" spans="1:14" ht="15" hidden="1" customHeight="1" x14ac:dyDescent="0.45">
      <c r="A666" s="67">
        <v>4</v>
      </c>
      <c r="B666" s="186" t="s">
        <v>97</v>
      </c>
      <c r="C666" s="28" t="s">
        <v>141</v>
      </c>
      <c r="D666" s="28" t="str">
        <f t="shared" si="282"/>
        <v/>
      </c>
      <c r="E666" s="256" t="str">
        <f t="shared" si="283"/>
        <v/>
      </c>
      <c r="F666" s="256" t="str">
        <f t="shared" si="284"/>
        <v/>
      </c>
      <c r="G666" s="159" t="str">
        <f t="shared" si="285"/>
        <v>rumus</v>
      </c>
      <c r="H666" s="39" t="s">
        <v>66</v>
      </c>
      <c r="I666" s="38"/>
      <c r="J666" s="37" t="str">
        <f t="shared" ref="J666:J672" si="287">IF(I666&lt;&gt;"",IF(I666="Ketua Penguji",1,IF(I666="Anggota Penguji",0.5,"")),"rumus")</f>
        <v>rumus</v>
      </c>
      <c r="K666" s="35"/>
      <c r="L666" s="35"/>
      <c r="M666" s="35"/>
    </row>
    <row r="667" spans="1:14" ht="15" hidden="1" customHeight="1" x14ac:dyDescent="0.45">
      <c r="A667" s="67">
        <v>5</v>
      </c>
      <c r="B667" s="186" t="s">
        <v>97</v>
      </c>
      <c r="C667" s="28" t="s">
        <v>141</v>
      </c>
      <c r="D667" s="28" t="str">
        <f t="shared" si="282"/>
        <v/>
      </c>
      <c r="E667" s="256" t="str">
        <f t="shared" si="283"/>
        <v/>
      </c>
      <c r="F667" s="256" t="str">
        <f t="shared" si="284"/>
        <v/>
      </c>
      <c r="G667" s="159" t="str">
        <f t="shared" si="285"/>
        <v>rumus</v>
      </c>
      <c r="H667" s="39" t="s">
        <v>66</v>
      </c>
      <c r="I667" s="38"/>
      <c r="J667" s="37" t="str">
        <f t="shared" si="287"/>
        <v>rumus</v>
      </c>
      <c r="K667" s="35"/>
      <c r="L667" s="35"/>
      <c r="M667" s="35"/>
    </row>
    <row r="668" spans="1:14" ht="15" hidden="1" customHeight="1" x14ac:dyDescent="0.45">
      <c r="A668" s="67">
        <v>6</v>
      </c>
      <c r="B668" s="186" t="s">
        <v>97</v>
      </c>
      <c r="C668" s="28" t="s">
        <v>141</v>
      </c>
      <c r="D668" s="28" t="str">
        <f t="shared" si="282"/>
        <v/>
      </c>
      <c r="E668" s="256" t="str">
        <f t="shared" si="283"/>
        <v/>
      </c>
      <c r="F668" s="256" t="str">
        <f t="shared" si="284"/>
        <v/>
      </c>
      <c r="G668" s="159" t="str">
        <f t="shared" si="285"/>
        <v>rumus</v>
      </c>
      <c r="H668" s="39" t="s">
        <v>66</v>
      </c>
      <c r="I668" s="38"/>
      <c r="J668" s="37" t="str">
        <f t="shared" si="287"/>
        <v>rumus</v>
      </c>
      <c r="K668" s="35"/>
      <c r="L668" s="35"/>
      <c r="M668" s="35"/>
    </row>
    <row r="669" spans="1:14" ht="15" hidden="1" customHeight="1" x14ac:dyDescent="0.45">
      <c r="A669" s="67">
        <v>7</v>
      </c>
      <c r="B669" s="186" t="s">
        <v>97</v>
      </c>
      <c r="C669" s="28" t="s">
        <v>141</v>
      </c>
      <c r="D669" s="28" t="str">
        <f t="shared" si="282"/>
        <v/>
      </c>
      <c r="E669" s="256" t="str">
        <f t="shared" si="283"/>
        <v/>
      </c>
      <c r="F669" s="256" t="str">
        <f t="shared" si="284"/>
        <v/>
      </c>
      <c r="G669" s="159" t="str">
        <f t="shared" si="285"/>
        <v>rumus</v>
      </c>
      <c r="H669" s="39" t="s">
        <v>66</v>
      </c>
      <c r="I669" s="38"/>
      <c r="J669" s="37" t="str">
        <f t="shared" si="287"/>
        <v>rumus</v>
      </c>
      <c r="K669" s="35"/>
      <c r="L669" s="35"/>
      <c r="M669" s="35"/>
    </row>
    <row r="670" spans="1:14" ht="15" hidden="1" customHeight="1" x14ac:dyDescent="0.45">
      <c r="A670" s="67">
        <v>8</v>
      </c>
      <c r="B670" s="186" t="s">
        <v>97</v>
      </c>
      <c r="C670" s="28" t="s">
        <v>141</v>
      </c>
      <c r="D670" s="28" t="str">
        <f t="shared" si="282"/>
        <v/>
      </c>
      <c r="E670" s="256" t="str">
        <f t="shared" si="283"/>
        <v/>
      </c>
      <c r="F670" s="256" t="str">
        <f t="shared" si="284"/>
        <v/>
      </c>
      <c r="G670" s="159" t="str">
        <f t="shared" si="285"/>
        <v>rumus</v>
      </c>
      <c r="H670" s="39" t="s">
        <v>66</v>
      </c>
      <c r="I670" s="38"/>
      <c r="J670" s="37" t="str">
        <f t="shared" si="287"/>
        <v>rumus</v>
      </c>
      <c r="K670" s="35"/>
      <c r="L670" s="35"/>
      <c r="M670" s="35"/>
    </row>
    <row r="671" spans="1:14" ht="15" hidden="1" customHeight="1" x14ac:dyDescent="0.45">
      <c r="A671" s="67">
        <v>9</v>
      </c>
      <c r="B671" s="186" t="s">
        <v>97</v>
      </c>
      <c r="C671" s="28" t="s">
        <v>141</v>
      </c>
      <c r="D671" s="28" t="str">
        <f t="shared" si="282"/>
        <v/>
      </c>
      <c r="E671" s="256" t="str">
        <f t="shared" si="283"/>
        <v/>
      </c>
      <c r="F671" s="256" t="str">
        <f t="shared" si="284"/>
        <v/>
      </c>
      <c r="G671" s="159" t="str">
        <f t="shared" si="285"/>
        <v>rumus</v>
      </c>
      <c r="H671" s="39" t="s">
        <v>66</v>
      </c>
      <c r="I671" s="38"/>
      <c r="J671" s="37" t="str">
        <f t="shared" si="287"/>
        <v>rumus</v>
      </c>
      <c r="K671" s="35"/>
      <c r="L671" s="35"/>
      <c r="M671" s="35"/>
    </row>
    <row r="672" spans="1:14" ht="15" hidden="1" customHeight="1" x14ac:dyDescent="0.45">
      <c r="A672" s="67">
        <v>10</v>
      </c>
      <c r="B672" s="186" t="s">
        <v>97</v>
      </c>
      <c r="C672" s="28" t="s">
        <v>141</v>
      </c>
      <c r="D672" s="28" t="str">
        <f t="shared" si="282"/>
        <v/>
      </c>
      <c r="E672" s="256" t="str">
        <f t="shared" si="283"/>
        <v/>
      </c>
      <c r="F672" s="256" t="str">
        <f t="shared" si="284"/>
        <v/>
      </c>
      <c r="G672" s="159" t="str">
        <f t="shared" si="285"/>
        <v>rumus</v>
      </c>
      <c r="H672" s="39" t="s">
        <v>66</v>
      </c>
      <c r="I672" s="38"/>
      <c r="J672" s="37" t="str">
        <f t="shared" si="287"/>
        <v>rumus</v>
      </c>
      <c r="K672" s="35"/>
      <c r="L672" s="35"/>
      <c r="M672" s="35"/>
    </row>
    <row r="673" spans="1:14" ht="15" hidden="1" customHeight="1" x14ac:dyDescent="0.45">
      <c r="A673" s="67"/>
      <c r="B673" s="168" t="str">
        <f>"b. Semester Genap "&amp;IF(C674&lt;&gt;"",C674,"")&amp;" :"</f>
        <v>b. Semester Genap 2005/2006 :</v>
      </c>
      <c r="C673" s="57"/>
      <c r="D673" s="57"/>
      <c r="E673" s="57"/>
      <c r="F673" s="57"/>
      <c r="G673" s="57"/>
      <c r="H673" s="117"/>
      <c r="I673" s="35"/>
      <c r="J673" s="35"/>
      <c r="K673" s="106">
        <f>IF(COUNTIF(I663:I672,"Ketua Penguji")&lt;=4,SUMIF(I663:I672,"Ketua Penguji",J663:J672),4*1)+IF(COUNTIF(I663:I672,"Anggota Penguji")&lt;=8,SUMIF(I663:I672,"Anggota Penguji",J663:J672),8*0.5)</f>
        <v>0</v>
      </c>
      <c r="L673" t="s">
        <v>282</v>
      </c>
      <c r="M673">
        <f>IF(COUNTIF(I663:I672,"Ketua Penguji")&lt;=4,SUMIF(I663:I672,"Ketua Penguji",J663:J672),4*1)</f>
        <v>0</v>
      </c>
      <c r="N673">
        <f>IF(COUNTIF(I663:I672,"Anggota Penguji")&lt;=8,SUMIF(I663:I672,"Anggota Penguji",J663:J672),8*0.5)</f>
        <v>0</v>
      </c>
    </row>
    <row r="674" spans="1:14" ht="15" hidden="1" customHeight="1" x14ac:dyDescent="0.45">
      <c r="A674" s="67">
        <v>1</v>
      </c>
      <c r="B674" s="186" t="s">
        <v>97</v>
      </c>
      <c r="C674" s="28" t="s">
        <v>142</v>
      </c>
      <c r="D674" s="28" t="str">
        <f t="shared" ref="D674:D683" si="288">IF(G674&lt;&gt;"rumus","Lulusan","")</f>
        <v/>
      </c>
      <c r="E674" s="256" t="str">
        <f t="shared" ref="E674:E683" si="289">IF(I674&lt;&gt;"",1,"")</f>
        <v/>
      </c>
      <c r="F674" s="256" t="str">
        <f>IF(I674&lt;&gt;"",J674,"")</f>
        <v/>
      </c>
      <c r="G674" s="159" t="str">
        <f>IF(J674&lt;&gt;"rumus","1 x "&amp;J674&amp;" = "&amp;J674,"rumus")</f>
        <v>rumus</v>
      </c>
      <c r="H674" s="28" t="s">
        <v>620</v>
      </c>
      <c r="I674" s="38"/>
      <c r="J674" s="37" t="str">
        <f>IF(I674&lt;&gt;"",IF(I674="Ketua Penguji",1,IF(I674="Anggota Penguji",0.5,"")),"rumus")</f>
        <v>rumus</v>
      </c>
      <c r="K674" s="35"/>
      <c r="L674" s="35"/>
      <c r="M674" s="35"/>
    </row>
    <row r="675" spans="1:14" ht="15" hidden="1" customHeight="1" x14ac:dyDescent="0.45">
      <c r="A675" s="67">
        <v>2</v>
      </c>
      <c r="B675" s="186" t="s">
        <v>97</v>
      </c>
      <c r="C675" s="28" t="s">
        <v>142</v>
      </c>
      <c r="D675" s="28" t="str">
        <f t="shared" si="288"/>
        <v/>
      </c>
      <c r="E675" s="256" t="str">
        <f t="shared" si="289"/>
        <v/>
      </c>
      <c r="F675" s="256" t="str">
        <f t="shared" ref="F675:F683" si="290">IF(I675&lt;&gt;"",J675,"")</f>
        <v/>
      </c>
      <c r="G675" s="159" t="str">
        <f t="shared" ref="G675:G683" si="291">IF(J675&lt;&gt;"rumus","1 x "&amp;J675&amp;" = "&amp;J675,"rumus")</f>
        <v>rumus</v>
      </c>
      <c r="H675" s="39" t="s">
        <v>66</v>
      </c>
      <c r="I675" s="38"/>
      <c r="J675" s="37" t="str">
        <f t="shared" ref="J675" si="292">IF(I675&lt;&gt;"",IF(I675="Ketua Penguji",1,IF(I675="Anggota Penguji",0.5,"")),"rumus")</f>
        <v>rumus</v>
      </c>
      <c r="K675" s="35"/>
      <c r="L675" s="35"/>
      <c r="M675" s="35"/>
    </row>
    <row r="676" spans="1:14" ht="15" hidden="1" customHeight="1" x14ac:dyDescent="0.45">
      <c r="A676" s="67">
        <v>3</v>
      </c>
      <c r="B676" s="186" t="s">
        <v>97</v>
      </c>
      <c r="C676" s="28" t="s">
        <v>142</v>
      </c>
      <c r="D676" s="28" t="str">
        <f t="shared" si="288"/>
        <v/>
      </c>
      <c r="E676" s="256" t="str">
        <f t="shared" si="289"/>
        <v/>
      </c>
      <c r="F676" s="256" t="str">
        <f t="shared" si="290"/>
        <v/>
      </c>
      <c r="G676" s="159" t="str">
        <f t="shared" si="291"/>
        <v>rumus</v>
      </c>
      <c r="H676" s="39" t="s">
        <v>66</v>
      </c>
      <c r="I676" s="38"/>
      <c r="J676" s="37" t="str">
        <f>IF(I676&lt;&gt;"",IF(I676="Ketua Penguji",1,IF(I676="Anggota Penguji",0.5,"")),"rumus")</f>
        <v>rumus</v>
      </c>
      <c r="K676" s="35"/>
      <c r="L676" s="35"/>
      <c r="M676" s="35"/>
    </row>
    <row r="677" spans="1:14" ht="15" hidden="1" customHeight="1" x14ac:dyDescent="0.45">
      <c r="A677" s="67">
        <v>4</v>
      </c>
      <c r="B677" s="186" t="s">
        <v>97</v>
      </c>
      <c r="C677" s="28" t="s">
        <v>142</v>
      </c>
      <c r="D677" s="28" t="str">
        <f t="shared" si="288"/>
        <v/>
      </c>
      <c r="E677" s="256" t="str">
        <f t="shared" si="289"/>
        <v/>
      </c>
      <c r="F677" s="256" t="str">
        <f t="shared" si="290"/>
        <v/>
      </c>
      <c r="G677" s="159" t="str">
        <f t="shared" si="291"/>
        <v>rumus</v>
      </c>
      <c r="H677" s="39" t="s">
        <v>66</v>
      </c>
      <c r="I677" s="38"/>
      <c r="J677" s="37" t="str">
        <f t="shared" ref="J677:J683" si="293">IF(I677&lt;&gt;"",IF(I677="Ketua Penguji",1,IF(I677="Anggota Penguji",0.5,"")),"rumus")</f>
        <v>rumus</v>
      </c>
      <c r="K677" s="35"/>
      <c r="L677" s="35"/>
      <c r="M677" s="35"/>
    </row>
    <row r="678" spans="1:14" ht="15" hidden="1" customHeight="1" x14ac:dyDescent="0.45">
      <c r="A678" s="67">
        <v>5</v>
      </c>
      <c r="B678" s="186" t="s">
        <v>97</v>
      </c>
      <c r="C678" s="28" t="s">
        <v>142</v>
      </c>
      <c r="D678" s="28" t="str">
        <f t="shared" si="288"/>
        <v/>
      </c>
      <c r="E678" s="256" t="str">
        <f t="shared" si="289"/>
        <v/>
      </c>
      <c r="F678" s="256" t="str">
        <f t="shared" si="290"/>
        <v/>
      </c>
      <c r="G678" s="159" t="str">
        <f t="shared" si="291"/>
        <v>rumus</v>
      </c>
      <c r="H678" s="39" t="s">
        <v>66</v>
      </c>
      <c r="I678" s="38"/>
      <c r="J678" s="37" t="str">
        <f t="shared" si="293"/>
        <v>rumus</v>
      </c>
      <c r="K678" s="35"/>
      <c r="L678" s="35"/>
      <c r="M678" s="35"/>
    </row>
    <row r="679" spans="1:14" ht="15" hidden="1" customHeight="1" x14ac:dyDescent="0.45">
      <c r="A679" s="67">
        <v>6</v>
      </c>
      <c r="B679" s="186" t="s">
        <v>97</v>
      </c>
      <c r="C679" s="28" t="s">
        <v>142</v>
      </c>
      <c r="D679" s="28" t="str">
        <f t="shared" si="288"/>
        <v/>
      </c>
      <c r="E679" s="256" t="str">
        <f t="shared" si="289"/>
        <v/>
      </c>
      <c r="F679" s="256" t="str">
        <f t="shared" si="290"/>
        <v/>
      </c>
      <c r="G679" s="159" t="str">
        <f t="shared" si="291"/>
        <v>rumus</v>
      </c>
      <c r="H679" s="39" t="s">
        <v>66</v>
      </c>
      <c r="I679" s="38"/>
      <c r="J679" s="37" t="str">
        <f t="shared" si="293"/>
        <v>rumus</v>
      </c>
      <c r="K679" s="35"/>
      <c r="L679" s="35"/>
      <c r="M679" s="35"/>
    </row>
    <row r="680" spans="1:14" ht="15" hidden="1" customHeight="1" x14ac:dyDescent="0.45">
      <c r="A680" s="67">
        <v>7</v>
      </c>
      <c r="B680" s="186" t="s">
        <v>97</v>
      </c>
      <c r="C680" s="28" t="s">
        <v>142</v>
      </c>
      <c r="D680" s="28" t="str">
        <f t="shared" si="288"/>
        <v/>
      </c>
      <c r="E680" s="256" t="str">
        <f t="shared" si="289"/>
        <v/>
      </c>
      <c r="F680" s="256" t="str">
        <f t="shared" si="290"/>
        <v/>
      </c>
      <c r="G680" s="159" t="str">
        <f t="shared" si="291"/>
        <v>rumus</v>
      </c>
      <c r="H680" s="39" t="s">
        <v>66</v>
      </c>
      <c r="I680" s="38"/>
      <c r="J680" s="37" t="str">
        <f t="shared" si="293"/>
        <v>rumus</v>
      </c>
      <c r="K680" s="35"/>
      <c r="L680" s="35"/>
      <c r="M680" s="35"/>
    </row>
    <row r="681" spans="1:14" ht="15" hidden="1" customHeight="1" x14ac:dyDescent="0.45">
      <c r="A681" s="67">
        <v>8</v>
      </c>
      <c r="B681" s="186" t="s">
        <v>97</v>
      </c>
      <c r="C681" s="28" t="s">
        <v>142</v>
      </c>
      <c r="D681" s="28" t="str">
        <f t="shared" si="288"/>
        <v/>
      </c>
      <c r="E681" s="256" t="str">
        <f t="shared" si="289"/>
        <v/>
      </c>
      <c r="F681" s="256" t="str">
        <f t="shared" si="290"/>
        <v/>
      </c>
      <c r="G681" s="159" t="str">
        <f t="shared" si="291"/>
        <v>rumus</v>
      </c>
      <c r="H681" s="39" t="s">
        <v>66</v>
      </c>
      <c r="I681" s="38"/>
      <c r="J681" s="37" t="str">
        <f t="shared" si="293"/>
        <v>rumus</v>
      </c>
      <c r="K681" s="35"/>
      <c r="L681" s="35"/>
      <c r="M681" s="35"/>
    </row>
    <row r="682" spans="1:14" ht="15" hidden="1" customHeight="1" x14ac:dyDescent="0.45">
      <c r="A682" s="67">
        <v>9</v>
      </c>
      <c r="B682" s="186" t="s">
        <v>97</v>
      </c>
      <c r="C682" s="28" t="s">
        <v>142</v>
      </c>
      <c r="D682" s="28" t="str">
        <f t="shared" si="288"/>
        <v/>
      </c>
      <c r="E682" s="256" t="str">
        <f t="shared" si="289"/>
        <v/>
      </c>
      <c r="F682" s="256" t="str">
        <f t="shared" si="290"/>
        <v/>
      </c>
      <c r="G682" s="159" t="str">
        <f t="shared" si="291"/>
        <v>rumus</v>
      </c>
      <c r="H682" s="39" t="s">
        <v>66</v>
      </c>
      <c r="I682" s="38"/>
      <c r="J682" s="37" t="str">
        <f t="shared" si="293"/>
        <v>rumus</v>
      </c>
      <c r="K682" s="35"/>
      <c r="L682" s="35"/>
      <c r="M682" s="35"/>
    </row>
    <row r="683" spans="1:14" ht="15" hidden="1" customHeight="1" x14ac:dyDescent="0.45">
      <c r="A683" s="67">
        <v>10</v>
      </c>
      <c r="B683" s="186" t="s">
        <v>97</v>
      </c>
      <c r="C683" s="28" t="s">
        <v>142</v>
      </c>
      <c r="D683" s="28" t="str">
        <f t="shared" si="288"/>
        <v/>
      </c>
      <c r="E683" s="256" t="str">
        <f t="shared" si="289"/>
        <v/>
      </c>
      <c r="F683" s="256" t="str">
        <f t="shared" si="290"/>
        <v/>
      </c>
      <c r="G683" s="159" t="str">
        <f t="shared" si="291"/>
        <v>rumus</v>
      </c>
      <c r="H683" s="39" t="s">
        <v>66</v>
      </c>
      <c r="I683" s="38"/>
      <c r="J683" s="37" t="str">
        <f t="shared" si="293"/>
        <v>rumus</v>
      </c>
      <c r="K683" s="35"/>
      <c r="L683" s="35"/>
      <c r="M683" s="35"/>
    </row>
    <row r="684" spans="1:14" ht="15" hidden="1" customHeight="1" x14ac:dyDescent="0.45">
      <c r="A684" s="67"/>
      <c r="B684" s="168" t="str">
        <f>"b. Semester Genap "&amp;IF(C685&lt;&gt;"",C685,"")&amp;" :"</f>
        <v>b. Semester Genap 2006/2007 :</v>
      </c>
      <c r="C684" s="57"/>
      <c r="D684" s="57"/>
      <c r="E684" s="57"/>
      <c r="F684" s="57"/>
      <c r="G684" s="57"/>
      <c r="H684" s="124"/>
      <c r="I684" s="35"/>
      <c r="J684" s="35"/>
      <c r="K684" s="106">
        <f>IF(COUNTIF(I674:I683,"Ketua Penguji")&lt;=4,SUMIF(I674:I683,"Ketua Penguji",J674:J683),4*1)+IF(COUNTIF(I674:I683,"Anggota Penguji")&lt;=8,SUMIF(I674:I683,"Anggota Penguji",J674:J683),8*0.5)</f>
        <v>0</v>
      </c>
      <c r="L684" t="s">
        <v>282</v>
      </c>
      <c r="M684">
        <f>IF(COUNTIF(I674:I683,"Ketua Penguji")&lt;=4,SUMIF(I674:I683,"Ketua Penguji",J674:J683),4*1)</f>
        <v>0</v>
      </c>
      <c r="N684">
        <f>IF(COUNTIF(I674:I683,"Anggota Penguji")&lt;=8,SUMIF(I674:I683,"Anggota Penguji",J674:J683),8*0.5)</f>
        <v>0</v>
      </c>
    </row>
    <row r="685" spans="1:14" ht="15" hidden="1" customHeight="1" x14ac:dyDescent="0.45">
      <c r="A685" s="67">
        <v>1</v>
      </c>
      <c r="B685" s="186" t="s">
        <v>97</v>
      </c>
      <c r="C685" s="28" t="s">
        <v>143</v>
      </c>
      <c r="D685" s="28" t="str">
        <f t="shared" ref="D685:D694" si="294">IF(G685&lt;&gt;"rumus","Lulusan","")</f>
        <v/>
      </c>
      <c r="E685" s="256" t="str">
        <f t="shared" ref="E685:E694" si="295">IF(I685&lt;&gt;"",1,"")</f>
        <v/>
      </c>
      <c r="F685" s="256" t="str">
        <f>IF(I685&lt;&gt;"",J685,"")</f>
        <v/>
      </c>
      <c r="G685" s="159" t="str">
        <f>IF(J685&lt;&gt;"rumus","1 x "&amp;J685&amp;" = "&amp;J685,"rumus")</f>
        <v>rumus</v>
      </c>
      <c r="H685" s="28" t="s">
        <v>620</v>
      </c>
      <c r="I685" s="38"/>
      <c r="J685" s="37" t="str">
        <f>IF(I685&lt;&gt;"",IF(I685="Ketua Penguji",1,IF(I685="Anggota Penguji",0.5,"")),"rumus")</f>
        <v>rumus</v>
      </c>
      <c r="K685" s="35"/>
      <c r="L685" s="35"/>
      <c r="M685" s="35"/>
    </row>
    <row r="686" spans="1:14" ht="15" hidden="1" customHeight="1" x14ac:dyDescent="0.45">
      <c r="A686" s="67">
        <v>2</v>
      </c>
      <c r="B686" s="186" t="s">
        <v>97</v>
      </c>
      <c r="C686" s="28" t="s">
        <v>143</v>
      </c>
      <c r="D686" s="28" t="str">
        <f t="shared" si="294"/>
        <v/>
      </c>
      <c r="E686" s="256" t="str">
        <f t="shared" si="295"/>
        <v/>
      </c>
      <c r="F686" s="256" t="str">
        <f t="shared" ref="F686:F694" si="296">IF(I686&lt;&gt;"",J686,"")</f>
        <v/>
      </c>
      <c r="G686" s="159" t="str">
        <f t="shared" ref="G686:G694" si="297">IF(J686&lt;&gt;"rumus","1 x "&amp;J686&amp;" = "&amp;J686,"rumus")</f>
        <v>rumus</v>
      </c>
      <c r="H686" s="39" t="s">
        <v>66</v>
      </c>
      <c r="I686" s="38"/>
      <c r="J686" s="37" t="str">
        <f t="shared" ref="J686" si="298">IF(I686&lt;&gt;"",IF(I686="Ketua Penguji",1,IF(I686="Anggota Penguji",0.5,"")),"rumus")</f>
        <v>rumus</v>
      </c>
      <c r="K686" s="35"/>
      <c r="L686" s="35"/>
      <c r="M686" s="35"/>
    </row>
    <row r="687" spans="1:14" ht="15" hidden="1" customHeight="1" x14ac:dyDescent="0.45">
      <c r="A687" s="67">
        <v>3</v>
      </c>
      <c r="B687" s="186" t="s">
        <v>97</v>
      </c>
      <c r="C687" s="28" t="s">
        <v>143</v>
      </c>
      <c r="D687" s="28" t="str">
        <f t="shared" si="294"/>
        <v/>
      </c>
      <c r="E687" s="256" t="str">
        <f t="shared" si="295"/>
        <v/>
      </c>
      <c r="F687" s="256" t="str">
        <f t="shared" si="296"/>
        <v/>
      </c>
      <c r="G687" s="159" t="str">
        <f t="shared" si="297"/>
        <v>rumus</v>
      </c>
      <c r="H687" s="39" t="s">
        <v>66</v>
      </c>
      <c r="I687" s="38"/>
      <c r="J687" s="37" t="str">
        <f>IF(I687&lt;&gt;"",IF(I687="Ketua Penguji",1,IF(I687="Anggota Penguji",0.5,"")),"rumus")</f>
        <v>rumus</v>
      </c>
      <c r="K687" s="35"/>
      <c r="L687" s="35"/>
      <c r="M687" s="35"/>
    </row>
    <row r="688" spans="1:14" ht="15" hidden="1" customHeight="1" x14ac:dyDescent="0.45">
      <c r="A688" s="67">
        <v>4</v>
      </c>
      <c r="B688" s="186" t="s">
        <v>97</v>
      </c>
      <c r="C688" s="28" t="s">
        <v>143</v>
      </c>
      <c r="D688" s="28" t="str">
        <f t="shared" si="294"/>
        <v/>
      </c>
      <c r="E688" s="256" t="str">
        <f t="shared" si="295"/>
        <v/>
      </c>
      <c r="F688" s="256" t="str">
        <f t="shared" si="296"/>
        <v/>
      </c>
      <c r="G688" s="159" t="str">
        <f t="shared" si="297"/>
        <v>rumus</v>
      </c>
      <c r="H688" s="39" t="s">
        <v>66</v>
      </c>
      <c r="I688" s="38"/>
      <c r="J688" s="37" t="str">
        <f t="shared" ref="J688:J694" si="299">IF(I688&lt;&gt;"",IF(I688="Ketua Penguji",1,IF(I688="Anggota Penguji",0.5,"")),"rumus")</f>
        <v>rumus</v>
      </c>
      <c r="K688" s="35"/>
      <c r="L688" s="35"/>
      <c r="M688" s="35"/>
    </row>
    <row r="689" spans="1:14" ht="15" hidden="1" customHeight="1" x14ac:dyDescent="0.45">
      <c r="A689" s="67">
        <v>5</v>
      </c>
      <c r="B689" s="186" t="s">
        <v>97</v>
      </c>
      <c r="C689" s="28" t="s">
        <v>143</v>
      </c>
      <c r="D689" s="28" t="str">
        <f t="shared" si="294"/>
        <v/>
      </c>
      <c r="E689" s="256" t="str">
        <f t="shared" si="295"/>
        <v/>
      </c>
      <c r="F689" s="256" t="str">
        <f t="shared" si="296"/>
        <v/>
      </c>
      <c r="G689" s="159" t="str">
        <f t="shared" si="297"/>
        <v>rumus</v>
      </c>
      <c r="H689" s="39" t="s">
        <v>66</v>
      </c>
      <c r="I689" s="38"/>
      <c r="J689" s="37" t="str">
        <f t="shared" si="299"/>
        <v>rumus</v>
      </c>
      <c r="K689" s="35"/>
      <c r="L689" s="35"/>
      <c r="M689" s="35"/>
    </row>
    <row r="690" spans="1:14" ht="15" hidden="1" customHeight="1" x14ac:dyDescent="0.45">
      <c r="A690" s="67">
        <v>6</v>
      </c>
      <c r="B690" s="186" t="s">
        <v>97</v>
      </c>
      <c r="C690" s="28" t="s">
        <v>143</v>
      </c>
      <c r="D690" s="28" t="str">
        <f t="shared" si="294"/>
        <v/>
      </c>
      <c r="E690" s="256" t="str">
        <f t="shared" si="295"/>
        <v/>
      </c>
      <c r="F690" s="256" t="str">
        <f t="shared" si="296"/>
        <v/>
      </c>
      <c r="G690" s="159" t="str">
        <f t="shared" si="297"/>
        <v>rumus</v>
      </c>
      <c r="H690" s="39" t="s">
        <v>66</v>
      </c>
      <c r="I690" s="38"/>
      <c r="J690" s="37" t="str">
        <f t="shared" si="299"/>
        <v>rumus</v>
      </c>
      <c r="K690" s="35"/>
      <c r="L690" s="35"/>
      <c r="M690" s="35"/>
    </row>
    <row r="691" spans="1:14" ht="15" hidden="1" customHeight="1" x14ac:dyDescent="0.45">
      <c r="A691" s="67">
        <v>7</v>
      </c>
      <c r="B691" s="186" t="s">
        <v>97</v>
      </c>
      <c r="C691" s="28" t="s">
        <v>143</v>
      </c>
      <c r="D691" s="28" t="str">
        <f t="shared" si="294"/>
        <v/>
      </c>
      <c r="E691" s="256" t="str">
        <f t="shared" si="295"/>
        <v/>
      </c>
      <c r="F691" s="256" t="str">
        <f t="shared" si="296"/>
        <v/>
      </c>
      <c r="G691" s="159" t="str">
        <f t="shared" si="297"/>
        <v>rumus</v>
      </c>
      <c r="H691" s="39" t="s">
        <v>66</v>
      </c>
      <c r="I691" s="38"/>
      <c r="J691" s="37" t="str">
        <f t="shared" si="299"/>
        <v>rumus</v>
      </c>
      <c r="K691" s="35"/>
      <c r="L691" s="35"/>
      <c r="M691" s="35"/>
    </row>
    <row r="692" spans="1:14" ht="15" hidden="1" customHeight="1" x14ac:dyDescent="0.45">
      <c r="A692" s="67">
        <v>8</v>
      </c>
      <c r="B692" s="186" t="s">
        <v>97</v>
      </c>
      <c r="C692" s="28" t="s">
        <v>143</v>
      </c>
      <c r="D692" s="28" t="str">
        <f t="shared" si="294"/>
        <v/>
      </c>
      <c r="E692" s="256" t="str">
        <f t="shared" si="295"/>
        <v/>
      </c>
      <c r="F692" s="256" t="str">
        <f t="shared" si="296"/>
        <v/>
      </c>
      <c r="G692" s="159" t="str">
        <f t="shared" si="297"/>
        <v>rumus</v>
      </c>
      <c r="H692" s="39" t="s">
        <v>66</v>
      </c>
      <c r="I692" s="38"/>
      <c r="J692" s="37" t="str">
        <f t="shared" si="299"/>
        <v>rumus</v>
      </c>
      <c r="K692" s="35"/>
      <c r="L692" s="35"/>
      <c r="M692" s="35"/>
    </row>
    <row r="693" spans="1:14" ht="15" hidden="1" customHeight="1" x14ac:dyDescent="0.45">
      <c r="A693" s="67">
        <v>9</v>
      </c>
      <c r="B693" s="186" t="s">
        <v>97</v>
      </c>
      <c r="C693" s="28" t="s">
        <v>143</v>
      </c>
      <c r="D693" s="28" t="str">
        <f t="shared" si="294"/>
        <v/>
      </c>
      <c r="E693" s="256" t="str">
        <f t="shared" si="295"/>
        <v/>
      </c>
      <c r="F693" s="256" t="str">
        <f t="shared" si="296"/>
        <v/>
      </c>
      <c r="G693" s="159" t="str">
        <f t="shared" si="297"/>
        <v>rumus</v>
      </c>
      <c r="H693" s="39" t="s">
        <v>66</v>
      </c>
      <c r="I693" s="38"/>
      <c r="J693" s="37" t="str">
        <f t="shared" si="299"/>
        <v>rumus</v>
      </c>
      <c r="K693" s="35"/>
      <c r="L693" s="35"/>
      <c r="M693" s="35"/>
    </row>
    <row r="694" spans="1:14" ht="15" hidden="1" customHeight="1" x14ac:dyDescent="0.45">
      <c r="A694" s="67">
        <v>10</v>
      </c>
      <c r="B694" s="186" t="s">
        <v>97</v>
      </c>
      <c r="C694" s="28" t="s">
        <v>143</v>
      </c>
      <c r="D694" s="28" t="str">
        <f t="shared" si="294"/>
        <v/>
      </c>
      <c r="E694" s="256" t="str">
        <f t="shared" si="295"/>
        <v/>
      </c>
      <c r="F694" s="256" t="str">
        <f t="shared" si="296"/>
        <v/>
      </c>
      <c r="G694" s="159" t="str">
        <f t="shared" si="297"/>
        <v>rumus</v>
      </c>
      <c r="H694" s="39" t="s">
        <v>66</v>
      </c>
      <c r="I694" s="38"/>
      <c r="J694" s="37" t="str">
        <f t="shared" si="299"/>
        <v>rumus</v>
      </c>
      <c r="K694" s="35"/>
      <c r="L694" s="35"/>
      <c r="M694" s="35"/>
    </row>
    <row r="695" spans="1:14" ht="15" hidden="1" customHeight="1" x14ac:dyDescent="0.45">
      <c r="A695" s="67"/>
      <c r="B695" s="168" t="str">
        <f>"b. Semester Genap "&amp;IF(C696&lt;&gt;"",C696,"")&amp;" :"</f>
        <v>b. Semester Genap 2007/2008 :</v>
      </c>
      <c r="C695" s="57"/>
      <c r="D695" s="57"/>
      <c r="E695" s="57"/>
      <c r="F695" s="57"/>
      <c r="G695" s="57"/>
      <c r="H695" s="124"/>
      <c r="I695" s="35"/>
      <c r="J695" s="35"/>
      <c r="K695" s="106">
        <f>IF(COUNTIF(I685:I694,"Ketua Penguji")&lt;=4,SUMIF(I685:I694,"Ketua Penguji",J685:J694),4*1)+IF(COUNTIF(I685:I694,"Anggota Penguji")&lt;=8,SUMIF(I685:I694,"Anggota Penguji",J685:J694),8*0.5)</f>
        <v>0</v>
      </c>
      <c r="L695" t="s">
        <v>282</v>
      </c>
      <c r="M695">
        <f>IF(COUNTIF(I685:I694,"Ketua Penguji")&lt;=4,SUMIF(I685:I694,"Ketua Penguji",J685:J694),4*1)</f>
        <v>0</v>
      </c>
      <c r="N695">
        <f>IF(COUNTIF(I685:I694,"Anggota Penguji")&lt;=8,SUMIF(I685:I694,"Anggota Penguji",J685:J694),8*0.5)</f>
        <v>0</v>
      </c>
    </row>
    <row r="696" spans="1:14" ht="15" hidden="1" customHeight="1" x14ac:dyDescent="0.45">
      <c r="A696" s="67">
        <v>1</v>
      </c>
      <c r="B696" s="186" t="s">
        <v>97</v>
      </c>
      <c r="C696" s="28" t="s">
        <v>144</v>
      </c>
      <c r="D696" s="28" t="str">
        <f t="shared" ref="D696:D705" si="300">IF(G696&lt;&gt;"rumus","Lulusan","")</f>
        <v/>
      </c>
      <c r="E696" s="256" t="str">
        <f t="shared" ref="E696:E705" si="301">IF(I696&lt;&gt;"",1,"")</f>
        <v/>
      </c>
      <c r="F696" s="256" t="str">
        <f>IF(I696&lt;&gt;"",J696,"")</f>
        <v/>
      </c>
      <c r="G696" s="159" t="str">
        <f>IF(J696&lt;&gt;"rumus","1 x "&amp;J696&amp;" = "&amp;J696,"rumus")</f>
        <v>rumus</v>
      </c>
      <c r="H696" s="28" t="s">
        <v>620</v>
      </c>
      <c r="I696" s="38"/>
      <c r="J696" s="37" t="str">
        <f>IF(I696&lt;&gt;"",IF(I696="Ketua Penguji",1,IF(I696="Anggota Penguji",0.5,"")),"rumus")</f>
        <v>rumus</v>
      </c>
      <c r="K696" s="35"/>
      <c r="L696" s="35"/>
      <c r="M696" s="35"/>
    </row>
    <row r="697" spans="1:14" ht="15" hidden="1" customHeight="1" x14ac:dyDescent="0.45">
      <c r="A697" s="67">
        <v>2</v>
      </c>
      <c r="B697" s="186" t="s">
        <v>97</v>
      </c>
      <c r="C697" s="28" t="s">
        <v>144</v>
      </c>
      <c r="D697" s="28" t="str">
        <f t="shared" si="300"/>
        <v/>
      </c>
      <c r="E697" s="256" t="str">
        <f t="shared" si="301"/>
        <v/>
      </c>
      <c r="F697" s="256" t="str">
        <f t="shared" ref="F697:F705" si="302">IF(I697&lt;&gt;"",J697,"")</f>
        <v/>
      </c>
      <c r="G697" s="159" t="str">
        <f t="shared" ref="G697:G705" si="303">IF(J697&lt;&gt;"rumus","1 x "&amp;J697&amp;" = "&amp;J697,"rumus")</f>
        <v>rumus</v>
      </c>
      <c r="H697" s="39" t="s">
        <v>66</v>
      </c>
      <c r="I697" s="38"/>
      <c r="J697" s="37" t="str">
        <f t="shared" ref="J697" si="304">IF(I697&lt;&gt;"",IF(I697="Ketua Penguji",1,IF(I697="Anggota Penguji",0.5,"")),"rumus")</f>
        <v>rumus</v>
      </c>
      <c r="K697" s="35"/>
      <c r="L697" s="35"/>
      <c r="M697" s="35"/>
    </row>
    <row r="698" spans="1:14" ht="15" hidden="1" customHeight="1" x14ac:dyDescent="0.45">
      <c r="A698" s="67">
        <v>3</v>
      </c>
      <c r="B698" s="186" t="s">
        <v>97</v>
      </c>
      <c r="C698" s="28" t="s">
        <v>144</v>
      </c>
      <c r="D698" s="28" t="str">
        <f t="shared" si="300"/>
        <v/>
      </c>
      <c r="E698" s="256" t="str">
        <f t="shared" si="301"/>
        <v/>
      </c>
      <c r="F698" s="256" t="str">
        <f t="shared" si="302"/>
        <v/>
      </c>
      <c r="G698" s="159" t="str">
        <f t="shared" si="303"/>
        <v>rumus</v>
      </c>
      <c r="H698" s="39" t="s">
        <v>66</v>
      </c>
      <c r="I698" s="38"/>
      <c r="J698" s="37" t="str">
        <f>IF(I698&lt;&gt;"",IF(I698="Ketua Penguji",1,IF(I698="Anggota Penguji",0.5,"")),"rumus")</f>
        <v>rumus</v>
      </c>
      <c r="K698" s="35"/>
      <c r="L698" s="35"/>
      <c r="M698" s="35"/>
    </row>
    <row r="699" spans="1:14" ht="15" hidden="1" customHeight="1" x14ac:dyDescent="0.45">
      <c r="A699" s="67">
        <v>4</v>
      </c>
      <c r="B699" s="186" t="s">
        <v>97</v>
      </c>
      <c r="C699" s="28" t="s">
        <v>144</v>
      </c>
      <c r="D699" s="28" t="str">
        <f t="shared" si="300"/>
        <v/>
      </c>
      <c r="E699" s="256" t="str">
        <f t="shared" si="301"/>
        <v/>
      </c>
      <c r="F699" s="256" t="str">
        <f t="shared" si="302"/>
        <v/>
      </c>
      <c r="G699" s="159" t="str">
        <f t="shared" si="303"/>
        <v>rumus</v>
      </c>
      <c r="H699" s="39" t="s">
        <v>66</v>
      </c>
      <c r="I699" s="38"/>
      <c r="J699" s="37" t="str">
        <f t="shared" ref="J699:J705" si="305">IF(I699&lt;&gt;"",IF(I699="Ketua Penguji",1,IF(I699="Anggota Penguji",0.5,"")),"rumus")</f>
        <v>rumus</v>
      </c>
      <c r="K699" s="35"/>
      <c r="L699" s="35"/>
      <c r="M699" s="35"/>
    </row>
    <row r="700" spans="1:14" ht="15" hidden="1" customHeight="1" x14ac:dyDescent="0.45">
      <c r="A700" s="67">
        <v>5</v>
      </c>
      <c r="B700" s="186" t="s">
        <v>97</v>
      </c>
      <c r="C700" s="28" t="s">
        <v>144</v>
      </c>
      <c r="D700" s="28" t="str">
        <f t="shared" si="300"/>
        <v/>
      </c>
      <c r="E700" s="256" t="str">
        <f t="shared" si="301"/>
        <v/>
      </c>
      <c r="F700" s="256" t="str">
        <f t="shared" si="302"/>
        <v/>
      </c>
      <c r="G700" s="159" t="str">
        <f t="shared" si="303"/>
        <v>rumus</v>
      </c>
      <c r="H700" s="39" t="s">
        <v>66</v>
      </c>
      <c r="I700" s="38"/>
      <c r="J700" s="37" t="str">
        <f t="shared" si="305"/>
        <v>rumus</v>
      </c>
      <c r="K700" s="35"/>
      <c r="L700" s="35"/>
      <c r="M700" s="35"/>
    </row>
    <row r="701" spans="1:14" ht="15" hidden="1" customHeight="1" x14ac:dyDescent="0.45">
      <c r="A701" s="67">
        <v>6</v>
      </c>
      <c r="B701" s="186" t="s">
        <v>97</v>
      </c>
      <c r="C701" s="28" t="s">
        <v>144</v>
      </c>
      <c r="D701" s="28" t="str">
        <f t="shared" si="300"/>
        <v/>
      </c>
      <c r="E701" s="256" t="str">
        <f t="shared" si="301"/>
        <v/>
      </c>
      <c r="F701" s="256" t="str">
        <f t="shared" si="302"/>
        <v/>
      </c>
      <c r="G701" s="159" t="str">
        <f t="shared" si="303"/>
        <v>rumus</v>
      </c>
      <c r="H701" s="39" t="s">
        <v>66</v>
      </c>
      <c r="I701" s="38"/>
      <c r="J701" s="37" t="str">
        <f t="shared" si="305"/>
        <v>rumus</v>
      </c>
      <c r="K701" s="35"/>
      <c r="L701" s="35"/>
      <c r="M701" s="35"/>
    </row>
    <row r="702" spans="1:14" ht="15" hidden="1" customHeight="1" x14ac:dyDescent="0.45">
      <c r="A702" s="67">
        <v>7</v>
      </c>
      <c r="B702" s="186" t="s">
        <v>97</v>
      </c>
      <c r="C702" s="28" t="s">
        <v>144</v>
      </c>
      <c r="D702" s="28" t="str">
        <f t="shared" si="300"/>
        <v/>
      </c>
      <c r="E702" s="256" t="str">
        <f t="shared" si="301"/>
        <v/>
      </c>
      <c r="F702" s="256" t="str">
        <f t="shared" si="302"/>
        <v/>
      </c>
      <c r="G702" s="159" t="str">
        <f t="shared" si="303"/>
        <v>rumus</v>
      </c>
      <c r="H702" s="39" t="s">
        <v>66</v>
      </c>
      <c r="I702" s="38"/>
      <c r="J702" s="37" t="str">
        <f t="shared" si="305"/>
        <v>rumus</v>
      </c>
      <c r="K702" s="35"/>
      <c r="L702" s="35"/>
      <c r="M702" s="35"/>
    </row>
    <row r="703" spans="1:14" ht="15" hidden="1" customHeight="1" x14ac:dyDescent="0.45">
      <c r="A703" s="67">
        <v>8</v>
      </c>
      <c r="B703" s="186" t="s">
        <v>97</v>
      </c>
      <c r="C703" s="28" t="s">
        <v>144</v>
      </c>
      <c r="D703" s="28" t="str">
        <f t="shared" si="300"/>
        <v/>
      </c>
      <c r="E703" s="256" t="str">
        <f t="shared" si="301"/>
        <v/>
      </c>
      <c r="F703" s="256" t="str">
        <f t="shared" si="302"/>
        <v/>
      </c>
      <c r="G703" s="159" t="str">
        <f t="shared" si="303"/>
        <v>rumus</v>
      </c>
      <c r="H703" s="39" t="s">
        <v>66</v>
      </c>
      <c r="I703" s="38"/>
      <c r="J703" s="37" t="str">
        <f t="shared" si="305"/>
        <v>rumus</v>
      </c>
      <c r="K703" s="35"/>
      <c r="L703" s="35"/>
      <c r="M703" s="35"/>
    </row>
    <row r="704" spans="1:14" ht="15" hidden="1" customHeight="1" x14ac:dyDescent="0.45">
      <c r="A704" s="67">
        <v>9</v>
      </c>
      <c r="B704" s="186" t="s">
        <v>97</v>
      </c>
      <c r="C704" s="28" t="s">
        <v>144</v>
      </c>
      <c r="D704" s="28" t="str">
        <f t="shared" si="300"/>
        <v/>
      </c>
      <c r="E704" s="256" t="str">
        <f t="shared" si="301"/>
        <v/>
      </c>
      <c r="F704" s="256" t="str">
        <f t="shared" si="302"/>
        <v/>
      </c>
      <c r="G704" s="159" t="str">
        <f t="shared" si="303"/>
        <v>rumus</v>
      </c>
      <c r="H704" s="39" t="s">
        <v>66</v>
      </c>
      <c r="I704" s="38"/>
      <c r="J704" s="37" t="str">
        <f t="shared" si="305"/>
        <v>rumus</v>
      </c>
      <c r="K704" s="35"/>
      <c r="L704" s="35"/>
      <c r="M704" s="35"/>
    </row>
    <row r="705" spans="1:14" ht="15" hidden="1" customHeight="1" x14ac:dyDescent="0.45">
      <c r="A705" s="67">
        <v>10</v>
      </c>
      <c r="B705" s="186" t="s">
        <v>97</v>
      </c>
      <c r="C705" s="28" t="s">
        <v>144</v>
      </c>
      <c r="D705" s="28" t="str">
        <f t="shared" si="300"/>
        <v/>
      </c>
      <c r="E705" s="256" t="str">
        <f t="shared" si="301"/>
        <v/>
      </c>
      <c r="F705" s="256" t="str">
        <f t="shared" si="302"/>
        <v/>
      </c>
      <c r="G705" s="159" t="str">
        <f t="shared" si="303"/>
        <v>rumus</v>
      </c>
      <c r="H705" s="39" t="s">
        <v>66</v>
      </c>
      <c r="I705" s="38"/>
      <c r="J705" s="37" t="str">
        <f t="shared" si="305"/>
        <v>rumus</v>
      </c>
      <c r="K705" s="35"/>
      <c r="L705" s="35"/>
      <c r="M705" s="35"/>
    </row>
    <row r="706" spans="1:14" ht="15" hidden="1" customHeight="1" x14ac:dyDescent="0.45">
      <c r="A706" s="67"/>
      <c r="B706" s="168" t="str">
        <f>"b. Semester Genap "&amp;IF(C707&lt;&gt;"",C707,"")&amp;" :"</f>
        <v>b. Semester Genap 2008/2009 :</v>
      </c>
      <c r="C706" s="57"/>
      <c r="D706" s="57"/>
      <c r="E706" s="57"/>
      <c r="F706" s="57"/>
      <c r="G706" s="57"/>
      <c r="H706" s="124"/>
      <c r="I706" s="35"/>
      <c r="J706" s="35"/>
      <c r="K706" s="106">
        <f>IF(COUNTIF(I696:I705,"Ketua Penguji")&lt;=4,SUMIF(I696:I705,"Ketua Penguji",J696:J705),4*1)+IF(COUNTIF(I696:I705,"Anggota Penguji")&lt;=8,SUMIF(I696:I705,"Anggota Penguji",J696:J705),8*0.5)</f>
        <v>0</v>
      </c>
      <c r="L706" t="s">
        <v>282</v>
      </c>
      <c r="M706">
        <f>IF(COUNTIF(I696:I705,"Ketua Penguji")&lt;=4,SUMIF(I696:I705,"Ketua Penguji",J696:J705),4*1)</f>
        <v>0</v>
      </c>
      <c r="N706">
        <f>IF(COUNTIF(I696:I705,"Anggota Penguji")&lt;=8,SUMIF(I696:I705,"Anggota Penguji",J696:J705),8*0.5)</f>
        <v>0</v>
      </c>
    </row>
    <row r="707" spans="1:14" ht="15" hidden="1" customHeight="1" x14ac:dyDescent="0.45">
      <c r="A707" s="67">
        <v>1</v>
      </c>
      <c r="B707" s="186" t="s">
        <v>97</v>
      </c>
      <c r="C707" s="28" t="s">
        <v>145</v>
      </c>
      <c r="D707" s="28" t="str">
        <f t="shared" ref="D707:D716" si="306">IF(G707&lt;&gt;"rumus","Lulusan","")</f>
        <v/>
      </c>
      <c r="E707" s="256" t="str">
        <f t="shared" ref="E707:E716" si="307">IF(I707&lt;&gt;"",1,"")</f>
        <v/>
      </c>
      <c r="F707" s="256" t="str">
        <f>IF(I707&lt;&gt;"",J707,"")</f>
        <v/>
      </c>
      <c r="G707" s="159" t="str">
        <f>IF(J707&lt;&gt;"rumus","1 x "&amp;J707&amp;" = "&amp;J707,"rumus")</f>
        <v>rumus</v>
      </c>
      <c r="H707" s="28" t="s">
        <v>620</v>
      </c>
      <c r="I707" s="38"/>
      <c r="J707" s="37" t="str">
        <f>IF(I707&lt;&gt;"",IF(I707="Ketua Penguji",1,IF(I707="Anggota Penguji",0.5,"")),"rumus")</f>
        <v>rumus</v>
      </c>
      <c r="K707" s="35"/>
      <c r="L707" s="35"/>
      <c r="M707" s="35"/>
    </row>
    <row r="708" spans="1:14" ht="15" hidden="1" customHeight="1" x14ac:dyDescent="0.45">
      <c r="A708" s="67">
        <v>2</v>
      </c>
      <c r="B708" s="186" t="s">
        <v>97</v>
      </c>
      <c r="C708" s="28" t="s">
        <v>145</v>
      </c>
      <c r="D708" s="28" t="str">
        <f t="shared" si="306"/>
        <v/>
      </c>
      <c r="E708" s="256" t="str">
        <f t="shared" si="307"/>
        <v/>
      </c>
      <c r="F708" s="256" t="str">
        <f t="shared" ref="F708:F716" si="308">IF(I708&lt;&gt;"",J708,"")</f>
        <v/>
      </c>
      <c r="G708" s="159" t="str">
        <f t="shared" ref="G708:G716" si="309">IF(J708&lt;&gt;"rumus","1 x "&amp;J708&amp;" = "&amp;J708,"rumus")</f>
        <v>rumus</v>
      </c>
      <c r="H708" s="39" t="s">
        <v>66</v>
      </c>
      <c r="I708" s="38"/>
      <c r="J708" s="37" t="str">
        <f t="shared" ref="J708" si="310">IF(I708&lt;&gt;"",IF(I708="Ketua Penguji",1,IF(I708="Anggota Penguji",0.5,"")),"rumus")</f>
        <v>rumus</v>
      </c>
      <c r="K708" s="35"/>
      <c r="L708" s="35"/>
      <c r="M708" s="35"/>
    </row>
    <row r="709" spans="1:14" ht="15" hidden="1" customHeight="1" x14ac:dyDescent="0.45">
      <c r="A709" s="67">
        <v>3</v>
      </c>
      <c r="B709" s="186" t="s">
        <v>97</v>
      </c>
      <c r="C709" s="28" t="s">
        <v>145</v>
      </c>
      <c r="D709" s="28" t="str">
        <f t="shared" si="306"/>
        <v/>
      </c>
      <c r="E709" s="256" t="str">
        <f t="shared" si="307"/>
        <v/>
      </c>
      <c r="F709" s="256" t="str">
        <f t="shared" si="308"/>
        <v/>
      </c>
      <c r="G709" s="159" t="str">
        <f t="shared" si="309"/>
        <v>rumus</v>
      </c>
      <c r="H709" s="39" t="s">
        <v>66</v>
      </c>
      <c r="I709" s="38"/>
      <c r="J709" s="37" t="str">
        <f>IF(I709&lt;&gt;"",IF(I709="Ketua Penguji",1,IF(I709="Anggota Penguji",0.5,"")),"rumus")</f>
        <v>rumus</v>
      </c>
      <c r="K709" s="35"/>
      <c r="L709" s="35"/>
      <c r="M709" s="35"/>
    </row>
    <row r="710" spans="1:14" ht="15" hidden="1" customHeight="1" x14ac:dyDescent="0.45">
      <c r="A710" s="67">
        <v>4</v>
      </c>
      <c r="B710" s="186" t="s">
        <v>97</v>
      </c>
      <c r="C710" s="28" t="s">
        <v>145</v>
      </c>
      <c r="D710" s="28" t="str">
        <f t="shared" si="306"/>
        <v/>
      </c>
      <c r="E710" s="256" t="str">
        <f t="shared" si="307"/>
        <v/>
      </c>
      <c r="F710" s="256" t="str">
        <f t="shared" si="308"/>
        <v/>
      </c>
      <c r="G710" s="159" t="str">
        <f t="shared" si="309"/>
        <v>rumus</v>
      </c>
      <c r="H710" s="39" t="s">
        <v>66</v>
      </c>
      <c r="I710" s="38"/>
      <c r="J710" s="37" t="str">
        <f t="shared" ref="J710:J716" si="311">IF(I710&lt;&gt;"",IF(I710="Ketua Penguji",1,IF(I710="Anggota Penguji",0.5,"")),"rumus")</f>
        <v>rumus</v>
      </c>
      <c r="K710" s="35"/>
      <c r="L710" s="35"/>
      <c r="M710" s="35"/>
    </row>
    <row r="711" spans="1:14" ht="15" hidden="1" customHeight="1" x14ac:dyDescent="0.45">
      <c r="A711" s="67">
        <v>5</v>
      </c>
      <c r="B711" s="186" t="s">
        <v>97</v>
      </c>
      <c r="C711" s="28" t="s">
        <v>145</v>
      </c>
      <c r="D711" s="28" t="str">
        <f t="shared" si="306"/>
        <v/>
      </c>
      <c r="E711" s="256" t="str">
        <f t="shared" si="307"/>
        <v/>
      </c>
      <c r="F711" s="256" t="str">
        <f t="shared" si="308"/>
        <v/>
      </c>
      <c r="G711" s="159" t="str">
        <f t="shared" si="309"/>
        <v>rumus</v>
      </c>
      <c r="H711" s="39" t="s">
        <v>66</v>
      </c>
      <c r="I711" s="38"/>
      <c r="J711" s="37" t="str">
        <f t="shared" si="311"/>
        <v>rumus</v>
      </c>
      <c r="K711" s="35"/>
      <c r="L711" s="35"/>
      <c r="M711" s="35"/>
    </row>
    <row r="712" spans="1:14" ht="15" hidden="1" customHeight="1" x14ac:dyDescent="0.45">
      <c r="A712" s="67">
        <v>6</v>
      </c>
      <c r="B712" s="186" t="s">
        <v>97</v>
      </c>
      <c r="C712" s="28" t="s">
        <v>145</v>
      </c>
      <c r="D712" s="28" t="str">
        <f t="shared" si="306"/>
        <v/>
      </c>
      <c r="E712" s="256" t="str">
        <f t="shared" si="307"/>
        <v/>
      </c>
      <c r="F712" s="256" t="str">
        <f t="shared" si="308"/>
        <v/>
      </c>
      <c r="G712" s="159" t="str">
        <f t="shared" si="309"/>
        <v>rumus</v>
      </c>
      <c r="H712" s="39" t="s">
        <v>66</v>
      </c>
      <c r="I712" s="38"/>
      <c r="J712" s="37" t="str">
        <f t="shared" si="311"/>
        <v>rumus</v>
      </c>
      <c r="K712" s="35"/>
      <c r="L712" s="35"/>
      <c r="M712" s="35"/>
    </row>
    <row r="713" spans="1:14" ht="15" hidden="1" customHeight="1" x14ac:dyDescent="0.45">
      <c r="A713" s="67">
        <v>7</v>
      </c>
      <c r="B713" s="186" t="s">
        <v>97</v>
      </c>
      <c r="C713" s="28" t="s">
        <v>145</v>
      </c>
      <c r="D713" s="28" t="str">
        <f t="shared" si="306"/>
        <v/>
      </c>
      <c r="E713" s="256" t="str">
        <f t="shared" si="307"/>
        <v/>
      </c>
      <c r="F713" s="256" t="str">
        <f t="shared" si="308"/>
        <v/>
      </c>
      <c r="G713" s="159" t="str">
        <f t="shared" si="309"/>
        <v>rumus</v>
      </c>
      <c r="H713" s="39" t="s">
        <v>66</v>
      </c>
      <c r="I713" s="38"/>
      <c r="J713" s="37" t="str">
        <f t="shared" si="311"/>
        <v>rumus</v>
      </c>
      <c r="K713" s="35"/>
      <c r="L713" s="35"/>
      <c r="M713" s="35"/>
    </row>
    <row r="714" spans="1:14" ht="15" hidden="1" customHeight="1" x14ac:dyDescent="0.45">
      <c r="A714" s="67">
        <v>8</v>
      </c>
      <c r="B714" s="186" t="s">
        <v>97</v>
      </c>
      <c r="C714" s="28" t="s">
        <v>145</v>
      </c>
      <c r="D714" s="28" t="str">
        <f t="shared" si="306"/>
        <v/>
      </c>
      <c r="E714" s="256" t="str">
        <f t="shared" si="307"/>
        <v/>
      </c>
      <c r="F714" s="256" t="str">
        <f t="shared" si="308"/>
        <v/>
      </c>
      <c r="G714" s="159" t="str">
        <f t="shared" si="309"/>
        <v>rumus</v>
      </c>
      <c r="H714" s="39" t="s">
        <v>66</v>
      </c>
      <c r="I714" s="38"/>
      <c r="J714" s="37" t="str">
        <f t="shared" si="311"/>
        <v>rumus</v>
      </c>
      <c r="K714" s="35"/>
      <c r="L714" s="35"/>
      <c r="M714" s="35"/>
    </row>
    <row r="715" spans="1:14" ht="15" hidden="1" customHeight="1" x14ac:dyDescent="0.45">
      <c r="A715" s="67">
        <v>9</v>
      </c>
      <c r="B715" s="186" t="s">
        <v>97</v>
      </c>
      <c r="C715" s="28" t="s">
        <v>145</v>
      </c>
      <c r="D715" s="28" t="str">
        <f t="shared" si="306"/>
        <v/>
      </c>
      <c r="E715" s="256" t="str">
        <f t="shared" si="307"/>
        <v/>
      </c>
      <c r="F715" s="256" t="str">
        <f t="shared" si="308"/>
        <v/>
      </c>
      <c r="G715" s="159" t="str">
        <f t="shared" si="309"/>
        <v>rumus</v>
      </c>
      <c r="H715" s="39" t="s">
        <v>66</v>
      </c>
      <c r="I715" s="38"/>
      <c r="J715" s="37" t="str">
        <f t="shared" si="311"/>
        <v>rumus</v>
      </c>
      <c r="K715" s="35"/>
      <c r="L715" s="35"/>
      <c r="M715" s="35"/>
    </row>
    <row r="716" spans="1:14" ht="15" hidden="1" customHeight="1" x14ac:dyDescent="0.45">
      <c r="A716" s="67">
        <v>10</v>
      </c>
      <c r="B716" s="186" t="s">
        <v>97</v>
      </c>
      <c r="C716" s="28" t="s">
        <v>145</v>
      </c>
      <c r="D716" s="28" t="str">
        <f t="shared" si="306"/>
        <v/>
      </c>
      <c r="E716" s="256" t="str">
        <f t="shared" si="307"/>
        <v/>
      </c>
      <c r="F716" s="256" t="str">
        <f t="shared" si="308"/>
        <v/>
      </c>
      <c r="G716" s="159" t="str">
        <f t="shared" si="309"/>
        <v>rumus</v>
      </c>
      <c r="H716" s="39" t="s">
        <v>66</v>
      </c>
      <c r="I716" s="38"/>
      <c r="J716" s="37" t="str">
        <f t="shared" si="311"/>
        <v>rumus</v>
      </c>
      <c r="K716" s="35"/>
      <c r="L716" s="35"/>
      <c r="M716" s="35"/>
    </row>
    <row r="717" spans="1:14" ht="15" hidden="1" customHeight="1" x14ac:dyDescent="0.45">
      <c r="A717" s="67"/>
      <c r="B717" s="168" t="str">
        <f>"b. Semester Genap "&amp;IF(C718&lt;&gt;"",C718,"")&amp;" :"</f>
        <v>b. Semester Genap 2009/2010 :</v>
      </c>
      <c r="C717" s="57"/>
      <c r="D717" s="57"/>
      <c r="E717" s="57"/>
      <c r="F717" s="57"/>
      <c r="G717" s="57"/>
      <c r="H717" s="124"/>
      <c r="I717" s="35"/>
      <c r="J717" s="35"/>
      <c r="K717" s="106">
        <f>IF(COUNTIF(I707:I716,"Ketua Penguji")&lt;=4,SUMIF(I707:I716,"Ketua Penguji",J707:J716),4*1)+IF(COUNTIF(I707:I716,"Anggota Penguji")&lt;=8,SUMIF(I707:I716,"Anggota Penguji",J707:J716),8*0.5)</f>
        <v>0</v>
      </c>
      <c r="L717" t="s">
        <v>282</v>
      </c>
      <c r="M717">
        <f>IF(COUNTIF(I707:I716,"Ketua Penguji")&lt;=4,SUMIF(I707:I716,"Ketua Penguji",J707:J716),4*1)</f>
        <v>0</v>
      </c>
      <c r="N717">
        <f>IF(COUNTIF(I707:I716,"Anggota Penguji")&lt;=8,SUMIF(I707:I716,"Anggota Penguji",J707:J716),8*0.5)</f>
        <v>0</v>
      </c>
    </row>
    <row r="718" spans="1:14" ht="15" hidden="1" customHeight="1" x14ac:dyDescent="0.45">
      <c r="A718" s="67">
        <v>1</v>
      </c>
      <c r="B718" s="186" t="s">
        <v>97</v>
      </c>
      <c r="C718" s="28" t="s">
        <v>146</v>
      </c>
      <c r="D718" s="28" t="str">
        <f t="shared" ref="D718:D727" si="312">IF(G718&lt;&gt;"rumus","Lulusan","")</f>
        <v/>
      </c>
      <c r="E718" s="256" t="str">
        <f t="shared" ref="E718:E727" si="313">IF(I718&lt;&gt;"",1,"")</f>
        <v/>
      </c>
      <c r="F718" s="256" t="str">
        <f>IF(I718&lt;&gt;"",J718,"")</f>
        <v/>
      </c>
      <c r="G718" s="159" t="str">
        <f>IF(J718&lt;&gt;"rumus","1 x "&amp;J718&amp;" = "&amp;J718,"rumus")</f>
        <v>rumus</v>
      </c>
      <c r="H718" s="28" t="s">
        <v>109</v>
      </c>
      <c r="I718" s="38"/>
      <c r="J718" s="37" t="str">
        <f>IF(I718&lt;&gt;"",IF(I718="Ketua Penguji",1,IF(I718="Anggota Penguji",0.5,"")),"rumus")</f>
        <v>rumus</v>
      </c>
      <c r="K718" s="35"/>
      <c r="L718" s="35"/>
      <c r="M718" s="35"/>
    </row>
    <row r="719" spans="1:14" ht="15" hidden="1" customHeight="1" x14ac:dyDescent="0.45">
      <c r="A719" s="67">
        <v>2</v>
      </c>
      <c r="B719" s="186" t="s">
        <v>97</v>
      </c>
      <c r="C719" s="28" t="s">
        <v>146</v>
      </c>
      <c r="D719" s="28" t="str">
        <f t="shared" si="312"/>
        <v/>
      </c>
      <c r="E719" s="256" t="str">
        <f t="shared" si="313"/>
        <v/>
      </c>
      <c r="F719" s="256" t="str">
        <f t="shared" ref="F719:F727" si="314">IF(I719&lt;&gt;"",J719,"")</f>
        <v/>
      </c>
      <c r="G719" s="159" t="str">
        <f t="shared" ref="G719:G727" si="315">IF(J719&lt;&gt;"rumus","1 x "&amp;J719&amp;" = "&amp;J719,"rumus")</f>
        <v>rumus</v>
      </c>
      <c r="H719" s="39" t="s">
        <v>66</v>
      </c>
      <c r="I719" s="38"/>
      <c r="J719" s="37" t="str">
        <f t="shared" ref="J719" si="316">IF(I719&lt;&gt;"",IF(I719="Ketua Penguji",1,IF(I719="Anggota Penguji",0.5,"")),"rumus")</f>
        <v>rumus</v>
      </c>
      <c r="K719" s="35"/>
      <c r="L719" s="35"/>
      <c r="M719" s="35"/>
    </row>
    <row r="720" spans="1:14" ht="15" hidden="1" customHeight="1" x14ac:dyDescent="0.45">
      <c r="A720" s="67">
        <v>3</v>
      </c>
      <c r="B720" s="186" t="s">
        <v>97</v>
      </c>
      <c r="C720" s="28" t="s">
        <v>146</v>
      </c>
      <c r="D720" s="28" t="str">
        <f t="shared" si="312"/>
        <v/>
      </c>
      <c r="E720" s="256" t="str">
        <f t="shared" si="313"/>
        <v/>
      </c>
      <c r="F720" s="256" t="str">
        <f t="shared" si="314"/>
        <v/>
      </c>
      <c r="G720" s="159" t="str">
        <f t="shared" si="315"/>
        <v>rumus</v>
      </c>
      <c r="H720" s="39" t="s">
        <v>66</v>
      </c>
      <c r="I720" s="38"/>
      <c r="J720" s="37" t="str">
        <f>IF(I720&lt;&gt;"",IF(I720="Ketua Penguji",1,IF(I720="Anggota Penguji",0.5,"")),"rumus")</f>
        <v>rumus</v>
      </c>
      <c r="K720" s="35"/>
      <c r="L720" s="35"/>
      <c r="M720" s="35"/>
    </row>
    <row r="721" spans="1:14" ht="15" hidden="1" customHeight="1" x14ac:dyDescent="0.45">
      <c r="A721" s="67">
        <v>4</v>
      </c>
      <c r="B721" s="186" t="s">
        <v>97</v>
      </c>
      <c r="C721" s="28" t="s">
        <v>146</v>
      </c>
      <c r="D721" s="28" t="str">
        <f t="shared" si="312"/>
        <v/>
      </c>
      <c r="E721" s="256" t="str">
        <f t="shared" si="313"/>
        <v/>
      </c>
      <c r="F721" s="256" t="str">
        <f t="shared" si="314"/>
        <v/>
      </c>
      <c r="G721" s="159" t="str">
        <f t="shared" si="315"/>
        <v>rumus</v>
      </c>
      <c r="H721" s="39" t="s">
        <v>66</v>
      </c>
      <c r="I721" s="38"/>
      <c r="J721" s="37" t="str">
        <f t="shared" ref="J721:J727" si="317">IF(I721&lt;&gt;"",IF(I721="Ketua Penguji",1,IF(I721="Anggota Penguji",0.5,"")),"rumus")</f>
        <v>rumus</v>
      </c>
      <c r="K721" s="35"/>
      <c r="L721" s="35"/>
      <c r="M721" s="35"/>
    </row>
    <row r="722" spans="1:14" ht="15" hidden="1" customHeight="1" x14ac:dyDescent="0.45">
      <c r="A722" s="67">
        <v>5</v>
      </c>
      <c r="B722" s="186" t="s">
        <v>97</v>
      </c>
      <c r="C722" s="28" t="s">
        <v>146</v>
      </c>
      <c r="D722" s="28" t="str">
        <f t="shared" si="312"/>
        <v/>
      </c>
      <c r="E722" s="256" t="str">
        <f t="shared" si="313"/>
        <v/>
      </c>
      <c r="F722" s="256" t="str">
        <f t="shared" si="314"/>
        <v/>
      </c>
      <c r="G722" s="159" t="str">
        <f t="shared" si="315"/>
        <v>rumus</v>
      </c>
      <c r="H722" s="39" t="s">
        <v>66</v>
      </c>
      <c r="I722" s="38"/>
      <c r="J722" s="37" t="str">
        <f t="shared" si="317"/>
        <v>rumus</v>
      </c>
      <c r="K722" s="35"/>
      <c r="L722" s="35"/>
      <c r="M722" s="35"/>
    </row>
    <row r="723" spans="1:14" ht="15" hidden="1" customHeight="1" x14ac:dyDescent="0.45">
      <c r="A723" s="67">
        <v>6</v>
      </c>
      <c r="B723" s="186" t="s">
        <v>97</v>
      </c>
      <c r="C723" s="28" t="s">
        <v>146</v>
      </c>
      <c r="D723" s="28" t="str">
        <f t="shared" si="312"/>
        <v/>
      </c>
      <c r="E723" s="256" t="str">
        <f t="shared" si="313"/>
        <v/>
      </c>
      <c r="F723" s="256" t="str">
        <f t="shared" si="314"/>
        <v/>
      </c>
      <c r="G723" s="159" t="str">
        <f t="shared" si="315"/>
        <v>rumus</v>
      </c>
      <c r="H723" s="39" t="s">
        <v>66</v>
      </c>
      <c r="I723" s="38"/>
      <c r="J723" s="37" t="str">
        <f t="shared" si="317"/>
        <v>rumus</v>
      </c>
      <c r="K723" s="35"/>
      <c r="L723" s="35"/>
      <c r="M723" s="35"/>
    </row>
    <row r="724" spans="1:14" ht="15" hidden="1" customHeight="1" x14ac:dyDescent="0.45">
      <c r="A724" s="67">
        <v>7</v>
      </c>
      <c r="B724" s="186" t="s">
        <v>97</v>
      </c>
      <c r="C724" s="28" t="s">
        <v>146</v>
      </c>
      <c r="D724" s="28" t="str">
        <f t="shared" si="312"/>
        <v/>
      </c>
      <c r="E724" s="256" t="str">
        <f t="shared" si="313"/>
        <v/>
      </c>
      <c r="F724" s="256" t="str">
        <f t="shared" si="314"/>
        <v/>
      </c>
      <c r="G724" s="159" t="str">
        <f t="shared" si="315"/>
        <v>rumus</v>
      </c>
      <c r="H724" s="39" t="s">
        <v>66</v>
      </c>
      <c r="I724" s="38"/>
      <c r="J724" s="37" t="str">
        <f t="shared" si="317"/>
        <v>rumus</v>
      </c>
      <c r="K724" s="35"/>
      <c r="L724" s="35"/>
      <c r="M724" s="35"/>
    </row>
    <row r="725" spans="1:14" ht="15" hidden="1" customHeight="1" x14ac:dyDescent="0.45">
      <c r="A725" s="67">
        <v>8</v>
      </c>
      <c r="B725" s="186" t="s">
        <v>97</v>
      </c>
      <c r="C725" s="28" t="s">
        <v>146</v>
      </c>
      <c r="D725" s="28" t="str">
        <f t="shared" si="312"/>
        <v/>
      </c>
      <c r="E725" s="256" t="str">
        <f t="shared" si="313"/>
        <v/>
      </c>
      <c r="F725" s="256" t="str">
        <f t="shared" si="314"/>
        <v/>
      </c>
      <c r="G725" s="159" t="str">
        <f t="shared" si="315"/>
        <v>rumus</v>
      </c>
      <c r="H725" s="39" t="s">
        <v>66</v>
      </c>
      <c r="I725" s="38"/>
      <c r="J725" s="37" t="str">
        <f t="shared" si="317"/>
        <v>rumus</v>
      </c>
      <c r="K725" s="35"/>
      <c r="L725" s="35"/>
      <c r="M725" s="35"/>
    </row>
    <row r="726" spans="1:14" ht="15" hidden="1" customHeight="1" x14ac:dyDescent="0.45">
      <c r="A726" s="67">
        <v>9</v>
      </c>
      <c r="B726" s="186" t="s">
        <v>97</v>
      </c>
      <c r="C726" s="28" t="s">
        <v>146</v>
      </c>
      <c r="D726" s="28" t="str">
        <f t="shared" si="312"/>
        <v/>
      </c>
      <c r="E726" s="256" t="str">
        <f t="shared" si="313"/>
        <v/>
      </c>
      <c r="F726" s="256" t="str">
        <f t="shared" si="314"/>
        <v/>
      </c>
      <c r="G726" s="159" t="str">
        <f t="shared" si="315"/>
        <v>rumus</v>
      </c>
      <c r="H726" s="39" t="s">
        <v>66</v>
      </c>
      <c r="I726" s="38"/>
      <c r="J726" s="37" t="str">
        <f t="shared" si="317"/>
        <v>rumus</v>
      </c>
      <c r="K726" s="35"/>
      <c r="L726" s="35"/>
      <c r="M726" s="35"/>
    </row>
    <row r="727" spans="1:14" ht="15" hidden="1" customHeight="1" x14ac:dyDescent="0.45">
      <c r="A727" s="67">
        <v>10</v>
      </c>
      <c r="B727" s="186" t="s">
        <v>97</v>
      </c>
      <c r="C727" s="28" t="s">
        <v>146</v>
      </c>
      <c r="D727" s="28" t="str">
        <f t="shared" si="312"/>
        <v/>
      </c>
      <c r="E727" s="256" t="str">
        <f t="shared" si="313"/>
        <v/>
      </c>
      <c r="F727" s="256" t="str">
        <f t="shared" si="314"/>
        <v/>
      </c>
      <c r="G727" s="159" t="str">
        <f t="shared" si="315"/>
        <v>rumus</v>
      </c>
      <c r="H727" s="39" t="s">
        <v>66</v>
      </c>
      <c r="I727" s="38"/>
      <c r="J727" s="37" t="str">
        <f t="shared" si="317"/>
        <v>rumus</v>
      </c>
      <c r="K727" s="35"/>
      <c r="L727" s="35"/>
      <c r="M727" s="35"/>
    </row>
    <row r="728" spans="1:14" ht="15" hidden="1" customHeight="1" x14ac:dyDescent="0.45">
      <c r="A728" s="67"/>
      <c r="B728" s="168" t="str">
        <f>"b. Semester Genap "&amp;IF(C729&lt;&gt;"",C729,"")&amp;" :"</f>
        <v>b. Semester Genap 2010/2011 :</v>
      </c>
      <c r="C728" s="57"/>
      <c r="D728" s="57"/>
      <c r="E728" s="57"/>
      <c r="F728" s="57"/>
      <c r="G728" s="57"/>
      <c r="H728" s="124"/>
      <c r="I728" s="35"/>
      <c r="J728" s="35"/>
      <c r="K728" s="106">
        <f>IF(COUNTIF(I718:I727,"Ketua Penguji")&lt;=4,SUMIF(I718:I727,"Ketua Penguji",J718:J727),4*1)+IF(COUNTIF(I718:I727,"Anggota Penguji")&lt;=8,SUMIF(I718:I727,"Anggota Penguji",J718:J727),8*0.5)</f>
        <v>0</v>
      </c>
      <c r="L728" t="s">
        <v>282</v>
      </c>
      <c r="M728">
        <f>IF(COUNTIF(I718:I727,"Ketua Penguji")&lt;=4,SUMIF(I718:I727,"Ketua Penguji",J718:J727),4*1)</f>
        <v>0</v>
      </c>
      <c r="N728">
        <f>IF(COUNTIF(I718:I727,"Anggota Penguji")&lt;=8,SUMIF(I718:I727,"Anggota Penguji",J718:J727),8*0.5)</f>
        <v>0</v>
      </c>
    </row>
    <row r="729" spans="1:14" ht="15" hidden="1" customHeight="1" x14ac:dyDescent="0.45">
      <c r="A729" s="67">
        <v>1</v>
      </c>
      <c r="B729" s="186" t="s">
        <v>97</v>
      </c>
      <c r="C729" s="28" t="s">
        <v>108</v>
      </c>
      <c r="D729" s="28" t="str">
        <f t="shared" ref="D729:D738" si="318">IF(G729&lt;&gt;"rumus","Lulusan","")</f>
        <v/>
      </c>
      <c r="E729" s="256" t="str">
        <f t="shared" ref="E729:E738" si="319">IF(I729&lt;&gt;"",1,"")</f>
        <v/>
      </c>
      <c r="F729" s="256" t="str">
        <f>IF(I729&lt;&gt;"",J729,"")</f>
        <v/>
      </c>
      <c r="G729" s="159" t="str">
        <f>IF(J729&lt;&gt;"rumus","1 x "&amp;J729&amp;" = "&amp;J729,"rumus")</f>
        <v>rumus</v>
      </c>
      <c r="H729" s="28" t="s">
        <v>109</v>
      </c>
      <c r="I729" s="38"/>
      <c r="J729" s="37" t="str">
        <f>IF(I729&lt;&gt;"",IF(I729="Ketua Penguji",1,IF(I729="Anggota Penguji",0.5,"")),"rumus")</f>
        <v>rumus</v>
      </c>
      <c r="K729" s="35"/>
      <c r="L729" s="35"/>
      <c r="M729" s="35"/>
    </row>
    <row r="730" spans="1:14" ht="15" hidden="1" customHeight="1" x14ac:dyDescent="0.45">
      <c r="A730" s="67">
        <v>2</v>
      </c>
      <c r="B730" s="186" t="s">
        <v>97</v>
      </c>
      <c r="C730" s="28" t="s">
        <v>108</v>
      </c>
      <c r="D730" s="28" t="str">
        <f t="shared" si="318"/>
        <v/>
      </c>
      <c r="E730" s="256" t="str">
        <f t="shared" si="319"/>
        <v/>
      </c>
      <c r="F730" s="256" t="str">
        <f t="shared" ref="F730:F738" si="320">IF(I730&lt;&gt;"",J730,"")</f>
        <v/>
      </c>
      <c r="G730" s="159" t="str">
        <f t="shared" ref="G730:G738" si="321">IF(J730&lt;&gt;"rumus","1 x "&amp;J730&amp;" = "&amp;J730,"rumus")</f>
        <v>rumus</v>
      </c>
      <c r="H730" s="39" t="s">
        <v>66</v>
      </c>
      <c r="I730" s="38"/>
      <c r="J730" s="37" t="str">
        <f t="shared" ref="J730" si="322">IF(I730&lt;&gt;"",IF(I730="Ketua Penguji",1,IF(I730="Anggota Penguji",0.5,"")),"rumus")</f>
        <v>rumus</v>
      </c>
      <c r="K730" s="35"/>
      <c r="L730" s="35"/>
      <c r="M730" s="35"/>
    </row>
    <row r="731" spans="1:14" ht="15" hidden="1" customHeight="1" x14ac:dyDescent="0.45">
      <c r="A731" s="67">
        <v>3</v>
      </c>
      <c r="B731" s="186" t="s">
        <v>97</v>
      </c>
      <c r="C731" s="28" t="s">
        <v>108</v>
      </c>
      <c r="D731" s="28" t="str">
        <f t="shared" si="318"/>
        <v/>
      </c>
      <c r="E731" s="256" t="str">
        <f t="shared" si="319"/>
        <v/>
      </c>
      <c r="F731" s="256" t="str">
        <f t="shared" si="320"/>
        <v/>
      </c>
      <c r="G731" s="159" t="str">
        <f t="shared" si="321"/>
        <v>rumus</v>
      </c>
      <c r="H731" s="39" t="s">
        <v>66</v>
      </c>
      <c r="I731" s="38"/>
      <c r="J731" s="37" t="str">
        <f>IF(I731&lt;&gt;"",IF(I731="Ketua Penguji",1,IF(I731="Anggota Penguji",0.5,"")),"rumus")</f>
        <v>rumus</v>
      </c>
      <c r="K731" s="35"/>
      <c r="L731" s="35"/>
      <c r="M731" s="35"/>
    </row>
    <row r="732" spans="1:14" ht="15" hidden="1" customHeight="1" x14ac:dyDescent="0.45">
      <c r="A732" s="67">
        <v>4</v>
      </c>
      <c r="B732" s="186" t="s">
        <v>97</v>
      </c>
      <c r="C732" s="28" t="s">
        <v>108</v>
      </c>
      <c r="D732" s="28" t="str">
        <f t="shared" si="318"/>
        <v/>
      </c>
      <c r="E732" s="256" t="str">
        <f t="shared" si="319"/>
        <v/>
      </c>
      <c r="F732" s="256" t="str">
        <f t="shared" si="320"/>
        <v/>
      </c>
      <c r="G732" s="159" t="str">
        <f t="shared" si="321"/>
        <v>rumus</v>
      </c>
      <c r="H732" s="39" t="s">
        <v>66</v>
      </c>
      <c r="I732" s="38"/>
      <c r="J732" s="37" t="str">
        <f t="shared" ref="J732:J738" si="323">IF(I732&lt;&gt;"",IF(I732="Ketua Penguji",1,IF(I732="Anggota Penguji",0.5,"")),"rumus")</f>
        <v>rumus</v>
      </c>
      <c r="K732" s="35"/>
      <c r="L732" s="35"/>
      <c r="M732" s="35"/>
    </row>
    <row r="733" spans="1:14" ht="15" hidden="1" customHeight="1" x14ac:dyDescent="0.45">
      <c r="A733" s="67">
        <v>5</v>
      </c>
      <c r="B733" s="186" t="s">
        <v>97</v>
      </c>
      <c r="C733" s="28" t="s">
        <v>108</v>
      </c>
      <c r="D733" s="28" t="str">
        <f t="shared" si="318"/>
        <v/>
      </c>
      <c r="E733" s="256" t="str">
        <f t="shared" si="319"/>
        <v/>
      </c>
      <c r="F733" s="256" t="str">
        <f t="shared" si="320"/>
        <v/>
      </c>
      <c r="G733" s="159" t="str">
        <f t="shared" si="321"/>
        <v>rumus</v>
      </c>
      <c r="H733" s="39" t="s">
        <v>66</v>
      </c>
      <c r="I733" s="38"/>
      <c r="J733" s="37" t="str">
        <f t="shared" si="323"/>
        <v>rumus</v>
      </c>
      <c r="K733" s="35"/>
      <c r="L733" s="35"/>
      <c r="M733" s="35"/>
    </row>
    <row r="734" spans="1:14" ht="15" hidden="1" customHeight="1" x14ac:dyDescent="0.45">
      <c r="A734" s="67">
        <v>6</v>
      </c>
      <c r="B734" s="186" t="s">
        <v>97</v>
      </c>
      <c r="C734" s="28" t="s">
        <v>108</v>
      </c>
      <c r="D734" s="28" t="str">
        <f t="shared" si="318"/>
        <v/>
      </c>
      <c r="E734" s="256" t="str">
        <f t="shared" si="319"/>
        <v/>
      </c>
      <c r="F734" s="256" t="str">
        <f t="shared" si="320"/>
        <v/>
      </c>
      <c r="G734" s="159" t="str">
        <f t="shared" si="321"/>
        <v>rumus</v>
      </c>
      <c r="H734" s="39" t="s">
        <v>66</v>
      </c>
      <c r="I734" s="38"/>
      <c r="J734" s="37" t="str">
        <f t="shared" si="323"/>
        <v>rumus</v>
      </c>
      <c r="K734" s="35"/>
      <c r="L734" s="35"/>
      <c r="M734" s="35"/>
    </row>
    <row r="735" spans="1:14" ht="15" hidden="1" customHeight="1" x14ac:dyDescent="0.45">
      <c r="A735" s="67">
        <v>7</v>
      </c>
      <c r="B735" s="186" t="s">
        <v>97</v>
      </c>
      <c r="C735" s="28" t="s">
        <v>108</v>
      </c>
      <c r="D735" s="28" t="str">
        <f t="shared" si="318"/>
        <v/>
      </c>
      <c r="E735" s="256" t="str">
        <f t="shared" si="319"/>
        <v/>
      </c>
      <c r="F735" s="256" t="str">
        <f t="shared" si="320"/>
        <v/>
      </c>
      <c r="G735" s="159" t="str">
        <f t="shared" si="321"/>
        <v>rumus</v>
      </c>
      <c r="H735" s="39" t="s">
        <v>66</v>
      </c>
      <c r="I735" s="38"/>
      <c r="J735" s="37" t="str">
        <f t="shared" si="323"/>
        <v>rumus</v>
      </c>
      <c r="K735" s="35"/>
      <c r="L735" s="35"/>
      <c r="M735" s="35"/>
    </row>
    <row r="736" spans="1:14" ht="15" hidden="1" customHeight="1" x14ac:dyDescent="0.45">
      <c r="A736" s="67">
        <v>8</v>
      </c>
      <c r="B736" s="186" t="s">
        <v>97</v>
      </c>
      <c r="C736" s="28" t="s">
        <v>108</v>
      </c>
      <c r="D736" s="28" t="str">
        <f t="shared" si="318"/>
        <v/>
      </c>
      <c r="E736" s="256" t="str">
        <f t="shared" si="319"/>
        <v/>
      </c>
      <c r="F736" s="256" t="str">
        <f t="shared" si="320"/>
        <v/>
      </c>
      <c r="G736" s="159" t="str">
        <f t="shared" si="321"/>
        <v>rumus</v>
      </c>
      <c r="H736" s="39" t="s">
        <v>66</v>
      </c>
      <c r="I736" s="38"/>
      <c r="J736" s="37" t="str">
        <f t="shared" si="323"/>
        <v>rumus</v>
      </c>
      <c r="K736" s="35"/>
      <c r="L736" s="35"/>
      <c r="M736" s="35"/>
    </row>
    <row r="737" spans="1:14" ht="15" hidden="1" customHeight="1" x14ac:dyDescent="0.45">
      <c r="A737" s="67">
        <v>9</v>
      </c>
      <c r="B737" s="186" t="s">
        <v>97</v>
      </c>
      <c r="C737" s="28" t="s">
        <v>108</v>
      </c>
      <c r="D737" s="28" t="str">
        <f t="shared" si="318"/>
        <v/>
      </c>
      <c r="E737" s="256" t="str">
        <f t="shared" si="319"/>
        <v/>
      </c>
      <c r="F737" s="256" t="str">
        <f t="shared" si="320"/>
        <v/>
      </c>
      <c r="G737" s="159" t="str">
        <f t="shared" si="321"/>
        <v>rumus</v>
      </c>
      <c r="H737" s="39" t="s">
        <v>66</v>
      </c>
      <c r="I737" s="38"/>
      <c r="J737" s="37" t="str">
        <f t="shared" si="323"/>
        <v>rumus</v>
      </c>
      <c r="K737" s="35"/>
      <c r="L737" s="35"/>
      <c r="M737" s="35"/>
    </row>
    <row r="738" spans="1:14" ht="15" hidden="1" customHeight="1" x14ac:dyDescent="0.45">
      <c r="A738" s="67">
        <v>10</v>
      </c>
      <c r="B738" s="186" t="s">
        <v>97</v>
      </c>
      <c r="C738" s="28" t="s">
        <v>108</v>
      </c>
      <c r="D738" s="28" t="str">
        <f t="shared" si="318"/>
        <v/>
      </c>
      <c r="E738" s="256" t="str">
        <f t="shared" si="319"/>
        <v/>
      </c>
      <c r="F738" s="256" t="str">
        <f t="shared" si="320"/>
        <v/>
      </c>
      <c r="G738" s="159" t="str">
        <f t="shared" si="321"/>
        <v>rumus</v>
      </c>
      <c r="H738" s="39" t="s">
        <v>66</v>
      </c>
      <c r="I738" s="38"/>
      <c r="J738" s="37" t="str">
        <f t="shared" si="323"/>
        <v>rumus</v>
      </c>
      <c r="K738" s="35"/>
      <c r="L738" s="35"/>
      <c r="M738" s="35"/>
    </row>
    <row r="739" spans="1:14" ht="15" hidden="1" customHeight="1" x14ac:dyDescent="0.45">
      <c r="A739" s="67"/>
      <c r="B739" s="168" t="str">
        <f>"b. Semester Genap "&amp;IF(C740&lt;&gt;"",C740,"")&amp;" :"</f>
        <v>b. Semester Genap 2011/2012 :</v>
      </c>
      <c r="C739" s="57"/>
      <c r="D739" s="57"/>
      <c r="E739" s="57"/>
      <c r="F739" s="57"/>
      <c r="G739" s="57"/>
      <c r="H739" s="124"/>
      <c r="I739" s="35"/>
      <c r="J739" s="35"/>
      <c r="K739" s="106">
        <f>IF(COUNTIF(I729:I738,"Ketua Penguji")&lt;=4,SUMIF(I729:I738,"Ketua Penguji",J729:J738),4*1)+IF(COUNTIF(I729:I738,"Anggota Penguji")&lt;=8,SUMIF(I729:I738,"Anggota Penguji",J729:J738),8*0.5)</f>
        <v>0</v>
      </c>
      <c r="L739" t="s">
        <v>282</v>
      </c>
      <c r="M739">
        <f>IF(COUNTIF(I729:I738,"Ketua Penguji")&lt;=4,SUMIF(I729:I738,"Ketua Penguji",J729:J738),4*1)</f>
        <v>0</v>
      </c>
      <c r="N739">
        <f>IF(COUNTIF(I729:I738,"Anggota Penguji")&lt;=8,SUMIF(I729:I738,"Anggota Penguji",J729:J738),8*0.5)</f>
        <v>0</v>
      </c>
    </row>
    <row r="740" spans="1:14" ht="14.55" hidden="1" customHeight="1" x14ac:dyDescent="0.45">
      <c r="A740" s="67">
        <v>1</v>
      </c>
      <c r="B740" s="186" t="s">
        <v>97</v>
      </c>
      <c r="C740" s="28" t="s">
        <v>112</v>
      </c>
      <c r="D740" s="28" t="str">
        <f t="shared" ref="D740:D749" si="324">IF(G740&lt;&gt;"rumus","Lulusan","")</f>
        <v/>
      </c>
      <c r="E740" s="256" t="str">
        <f t="shared" ref="E740:E749" si="325">IF(I740&lt;&gt;"",1,"")</f>
        <v/>
      </c>
      <c r="F740" s="256" t="str">
        <f>IF(I740&lt;&gt;"",J740,"")</f>
        <v/>
      </c>
      <c r="G740" s="159" t="str">
        <f>IF(J740&lt;&gt;"rumus","1 x "&amp;J740&amp;" = "&amp;J740,"rumus")</f>
        <v>rumus</v>
      </c>
      <c r="H740" s="28" t="s">
        <v>109</v>
      </c>
      <c r="I740" s="38"/>
      <c r="J740" s="37" t="str">
        <f>IF(I740&lt;&gt;"",IF(I740="Ketua Penguji",1,IF(I740="Anggota Penguji",0.5,"")),"rumus")</f>
        <v>rumus</v>
      </c>
      <c r="K740" s="35"/>
      <c r="L740" s="35"/>
      <c r="M740" s="35"/>
    </row>
    <row r="741" spans="1:14" ht="14.55" hidden="1" customHeight="1" x14ac:dyDescent="0.45">
      <c r="A741" s="67">
        <v>2</v>
      </c>
      <c r="B741" s="186" t="s">
        <v>97</v>
      </c>
      <c r="C741" s="28" t="s">
        <v>112</v>
      </c>
      <c r="D741" s="28" t="str">
        <f t="shared" si="324"/>
        <v/>
      </c>
      <c r="E741" s="256" t="str">
        <f t="shared" si="325"/>
        <v/>
      </c>
      <c r="F741" s="256" t="str">
        <f t="shared" ref="F741:F749" si="326">IF(I741&lt;&gt;"",J741,"")</f>
        <v/>
      </c>
      <c r="G741" s="159" t="str">
        <f t="shared" ref="G741:G749" si="327">IF(J741&lt;&gt;"rumus","1 x "&amp;J741&amp;" = "&amp;J741,"rumus")</f>
        <v>rumus</v>
      </c>
      <c r="H741" s="39" t="s">
        <v>66</v>
      </c>
      <c r="I741" s="38"/>
      <c r="J741" s="37" t="str">
        <f t="shared" ref="J741" si="328">IF(I741&lt;&gt;"",IF(I741="Ketua Penguji",1,IF(I741="Anggota Penguji",0.5,"")),"rumus")</f>
        <v>rumus</v>
      </c>
      <c r="K741" s="35"/>
      <c r="L741" s="35"/>
      <c r="M741" s="35"/>
    </row>
    <row r="742" spans="1:14" ht="14.55" hidden="1" customHeight="1" x14ac:dyDescent="0.45">
      <c r="A742" s="67">
        <v>3</v>
      </c>
      <c r="B742" s="186" t="s">
        <v>97</v>
      </c>
      <c r="C742" s="28" t="s">
        <v>112</v>
      </c>
      <c r="D742" s="28" t="str">
        <f t="shared" si="324"/>
        <v/>
      </c>
      <c r="E742" s="256" t="str">
        <f t="shared" si="325"/>
        <v/>
      </c>
      <c r="F742" s="256" t="str">
        <f t="shared" si="326"/>
        <v/>
      </c>
      <c r="G742" s="159" t="str">
        <f t="shared" si="327"/>
        <v>rumus</v>
      </c>
      <c r="H742" s="39" t="s">
        <v>66</v>
      </c>
      <c r="I742" s="38"/>
      <c r="J742" s="37" t="str">
        <f>IF(I742&lt;&gt;"",IF(I742="Ketua Penguji",1,IF(I742="Anggota Penguji",0.5,"")),"rumus")</f>
        <v>rumus</v>
      </c>
      <c r="K742" s="35"/>
      <c r="L742" s="35"/>
      <c r="M742" s="35"/>
    </row>
    <row r="743" spans="1:14" ht="14.55" hidden="1" customHeight="1" x14ac:dyDescent="0.45">
      <c r="A743" s="67">
        <v>4</v>
      </c>
      <c r="B743" s="186" t="s">
        <v>97</v>
      </c>
      <c r="C743" s="28" t="s">
        <v>112</v>
      </c>
      <c r="D743" s="28" t="str">
        <f t="shared" si="324"/>
        <v/>
      </c>
      <c r="E743" s="256" t="str">
        <f t="shared" si="325"/>
        <v/>
      </c>
      <c r="F743" s="256" t="str">
        <f t="shared" si="326"/>
        <v/>
      </c>
      <c r="G743" s="159" t="str">
        <f t="shared" si="327"/>
        <v>rumus</v>
      </c>
      <c r="H743" s="39" t="s">
        <v>66</v>
      </c>
      <c r="I743" s="38"/>
      <c r="J743" s="37" t="str">
        <f t="shared" ref="J743:J749" si="329">IF(I743&lt;&gt;"",IF(I743="Ketua Penguji",1,IF(I743="Anggota Penguji",0.5,"")),"rumus")</f>
        <v>rumus</v>
      </c>
      <c r="K743" s="35"/>
      <c r="L743" s="35"/>
      <c r="M743" s="35"/>
    </row>
    <row r="744" spans="1:14" ht="14.55" hidden="1" customHeight="1" x14ac:dyDescent="0.45">
      <c r="A744" s="67">
        <v>5</v>
      </c>
      <c r="B744" s="186" t="s">
        <v>97</v>
      </c>
      <c r="C744" s="28" t="s">
        <v>112</v>
      </c>
      <c r="D744" s="28" t="str">
        <f t="shared" si="324"/>
        <v/>
      </c>
      <c r="E744" s="256" t="str">
        <f t="shared" si="325"/>
        <v/>
      </c>
      <c r="F744" s="256" t="str">
        <f t="shared" si="326"/>
        <v/>
      </c>
      <c r="G744" s="159" t="str">
        <f t="shared" si="327"/>
        <v>rumus</v>
      </c>
      <c r="H744" s="39" t="s">
        <v>66</v>
      </c>
      <c r="I744" s="38"/>
      <c r="J744" s="37" t="str">
        <f t="shared" si="329"/>
        <v>rumus</v>
      </c>
      <c r="K744" s="35"/>
      <c r="L744" s="35"/>
      <c r="M744" s="35"/>
    </row>
    <row r="745" spans="1:14" ht="14.55" hidden="1" customHeight="1" x14ac:dyDescent="0.45">
      <c r="A745" s="67">
        <v>6</v>
      </c>
      <c r="B745" s="186" t="s">
        <v>97</v>
      </c>
      <c r="C745" s="28" t="s">
        <v>112</v>
      </c>
      <c r="D745" s="28" t="str">
        <f t="shared" si="324"/>
        <v/>
      </c>
      <c r="E745" s="256" t="str">
        <f t="shared" si="325"/>
        <v/>
      </c>
      <c r="F745" s="256" t="str">
        <f t="shared" si="326"/>
        <v/>
      </c>
      <c r="G745" s="159" t="str">
        <f t="shared" si="327"/>
        <v>rumus</v>
      </c>
      <c r="H745" s="39" t="s">
        <v>66</v>
      </c>
      <c r="I745" s="38"/>
      <c r="J745" s="37" t="str">
        <f t="shared" si="329"/>
        <v>rumus</v>
      </c>
      <c r="K745" s="35"/>
      <c r="L745" s="35"/>
      <c r="M745" s="35"/>
    </row>
    <row r="746" spans="1:14" ht="14.55" hidden="1" customHeight="1" x14ac:dyDescent="0.45">
      <c r="A746" s="67">
        <v>7</v>
      </c>
      <c r="B746" s="186" t="s">
        <v>97</v>
      </c>
      <c r="C746" s="28" t="s">
        <v>112</v>
      </c>
      <c r="D746" s="28" t="str">
        <f t="shared" si="324"/>
        <v/>
      </c>
      <c r="E746" s="256" t="str">
        <f t="shared" si="325"/>
        <v/>
      </c>
      <c r="F746" s="256" t="str">
        <f t="shared" si="326"/>
        <v/>
      </c>
      <c r="G746" s="159" t="str">
        <f t="shared" si="327"/>
        <v>rumus</v>
      </c>
      <c r="H746" s="39" t="s">
        <v>66</v>
      </c>
      <c r="I746" s="38"/>
      <c r="J746" s="37" t="str">
        <f t="shared" si="329"/>
        <v>rumus</v>
      </c>
      <c r="K746" s="35"/>
      <c r="L746" s="35"/>
      <c r="M746" s="35"/>
    </row>
    <row r="747" spans="1:14" ht="14.55" hidden="1" customHeight="1" x14ac:dyDescent="0.45">
      <c r="A747" s="67">
        <v>8</v>
      </c>
      <c r="B747" s="186" t="s">
        <v>97</v>
      </c>
      <c r="C747" s="28" t="s">
        <v>112</v>
      </c>
      <c r="D747" s="28" t="str">
        <f t="shared" si="324"/>
        <v/>
      </c>
      <c r="E747" s="256" t="str">
        <f t="shared" si="325"/>
        <v/>
      </c>
      <c r="F747" s="256" t="str">
        <f t="shared" si="326"/>
        <v/>
      </c>
      <c r="G747" s="159" t="str">
        <f t="shared" si="327"/>
        <v>rumus</v>
      </c>
      <c r="H747" s="39" t="s">
        <v>66</v>
      </c>
      <c r="I747" s="38"/>
      <c r="J747" s="37" t="str">
        <f t="shared" si="329"/>
        <v>rumus</v>
      </c>
      <c r="K747" s="35"/>
      <c r="L747" s="35"/>
      <c r="M747" s="35"/>
    </row>
    <row r="748" spans="1:14" ht="14.55" hidden="1" customHeight="1" x14ac:dyDescent="0.45">
      <c r="A748" s="67">
        <v>9</v>
      </c>
      <c r="B748" s="186" t="s">
        <v>97</v>
      </c>
      <c r="C748" s="28" t="s">
        <v>112</v>
      </c>
      <c r="D748" s="28" t="str">
        <f t="shared" si="324"/>
        <v/>
      </c>
      <c r="E748" s="256" t="str">
        <f t="shared" si="325"/>
        <v/>
      </c>
      <c r="F748" s="256" t="str">
        <f t="shared" si="326"/>
        <v/>
      </c>
      <c r="G748" s="159" t="str">
        <f t="shared" si="327"/>
        <v>rumus</v>
      </c>
      <c r="H748" s="39" t="s">
        <v>66</v>
      </c>
      <c r="I748" s="38"/>
      <c r="J748" s="37" t="str">
        <f t="shared" si="329"/>
        <v>rumus</v>
      </c>
      <c r="K748" s="35"/>
      <c r="L748" s="35"/>
      <c r="M748" s="35"/>
    </row>
    <row r="749" spans="1:14" ht="14.55" hidden="1" customHeight="1" x14ac:dyDescent="0.45">
      <c r="A749" s="67">
        <v>10</v>
      </c>
      <c r="B749" s="186" t="s">
        <v>97</v>
      </c>
      <c r="C749" s="28" t="s">
        <v>112</v>
      </c>
      <c r="D749" s="28" t="str">
        <f t="shared" si="324"/>
        <v/>
      </c>
      <c r="E749" s="256" t="str">
        <f t="shared" si="325"/>
        <v/>
      </c>
      <c r="F749" s="256" t="str">
        <f t="shared" si="326"/>
        <v/>
      </c>
      <c r="G749" s="159" t="str">
        <f t="shared" si="327"/>
        <v>rumus</v>
      </c>
      <c r="H749" s="39" t="s">
        <v>66</v>
      </c>
      <c r="I749" s="38"/>
      <c r="J749" s="37" t="str">
        <f t="shared" si="329"/>
        <v>rumus</v>
      </c>
      <c r="K749" s="35"/>
      <c r="L749" s="35"/>
      <c r="M749" s="35"/>
    </row>
    <row r="750" spans="1:14" ht="15" hidden="1" customHeight="1" x14ac:dyDescent="0.45">
      <c r="A750" s="67"/>
      <c r="B750" s="168" t="str">
        <f>"b. Semester Genap "&amp;IF(C751&lt;&gt;"",C751,"")&amp;" :"</f>
        <v>b. Semester Genap 2012/2013 :</v>
      </c>
      <c r="C750" s="57"/>
      <c r="D750" s="57"/>
      <c r="E750" s="57"/>
      <c r="F750" s="57"/>
      <c r="G750" s="57"/>
      <c r="H750" s="124"/>
      <c r="I750" s="35"/>
      <c r="J750" s="35"/>
      <c r="K750" s="106">
        <f>IF(COUNTIF(I740:I749,"Ketua Penguji")&lt;=4,SUMIF(I740:I749,"Ketua Penguji",J740:J749),4*1)+IF(COUNTIF(I740:I749,"Anggota Penguji")&lt;=8,SUMIF(I740:I749,"Anggota Penguji",J740:J749),8*0.5)</f>
        <v>0</v>
      </c>
      <c r="L750" t="s">
        <v>282</v>
      </c>
      <c r="M750">
        <f>IF(COUNTIF(I740:I749,"Ketua Penguji")&lt;=4,SUMIF(I740:I749,"Ketua Penguji",J740:J749),4*1)</f>
        <v>0</v>
      </c>
      <c r="N750">
        <f>IF(COUNTIF(I740:I749,"Anggota Penguji")&lt;=8,SUMIF(I740:I749,"Anggota Penguji",J740:J749),8*0.5)</f>
        <v>0</v>
      </c>
    </row>
    <row r="751" spans="1:14" ht="14.55" hidden="1" customHeight="1" x14ac:dyDescent="0.45">
      <c r="A751" s="67">
        <v>1</v>
      </c>
      <c r="B751" s="186" t="s">
        <v>97</v>
      </c>
      <c r="C751" s="28" t="s">
        <v>113</v>
      </c>
      <c r="D751" s="28" t="str">
        <f t="shared" ref="D751:D760" si="330">IF(G751&lt;&gt;"rumus","Lulusan","")</f>
        <v/>
      </c>
      <c r="E751" s="256" t="str">
        <f t="shared" ref="E751:E760" si="331">IF(I751&lt;&gt;"",1,"")</f>
        <v/>
      </c>
      <c r="F751" s="256" t="str">
        <f>IF(I751&lt;&gt;"",J751,"")</f>
        <v/>
      </c>
      <c r="G751" s="159" t="str">
        <f>IF(J751&lt;&gt;"rumus","1 x "&amp;J751&amp;" = "&amp;J751,"rumus")</f>
        <v>rumus</v>
      </c>
      <c r="H751" s="28" t="s">
        <v>109</v>
      </c>
      <c r="I751" s="38"/>
      <c r="J751" s="37" t="str">
        <f>IF(I751&lt;&gt;"",IF(I751="Ketua Penguji",1,IF(I751="Anggota Penguji",0.5,"")),"rumus")</f>
        <v>rumus</v>
      </c>
      <c r="K751" s="35"/>
      <c r="L751" s="35"/>
      <c r="M751" s="35"/>
    </row>
    <row r="752" spans="1:14" ht="14.55" hidden="1" customHeight="1" x14ac:dyDescent="0.45">
      <c r="A752" s="67">
        <v>2</v>
      </c>
      <c r="B752" s="186" t="s">
        <v>97</v>
      </c>
      <c r="C752" s="28" t="s">
        <v>113</v>
      </c>
      <c r="D752" s="28" t="str">
        <f t="shared" si="330"/>
        <v/>
      </c>
      <c r="E752" s="256" t="str">
        <f t="shared" si="331"/>
        <v/>
      </c>
      <c r="F752" s="256" t="str">
        <f t="shared" ref="F752:F760" si="332">IF(I752&lt;&gt;"",J752,"")</f>
        <v/>
      </c>
      <c r="G752" s="159" t="str">
        <f t="shared" ref="G752:G760" si="333">IF(J752&lt;&gt;"rumus","1 x "&amp;J752&amp;" = "&amp;J752,"rumus")</f>
        <v>rumus</v>
      </c>
      <c r="H752" s="39" t="s">
        <v>66</v>
      </c>
      <c r="I752" s="38"/>
      <c r="J752" s="37" t="str">
        <f t="shared" ref="J752" si="334">IF(I752&lt;&gt;"",IF(I752="Ketua Penguji",1,IF(I752="Anggota Penguji",0.5,"")),"rumus")</f>
        <v>rumus</v>
      </c>
      <c r="K752" s="35"/>
      <c r="L752" s="35"/>
      <c r="M752" s="35"/>
    </row>
    <row r="753" spans="1:14" ht="14.55" hidden="1" customHeight="1" x14ac:dyDescent="0.45">
      <c r="A753" s="67">
        <v>3</v>
      </c>
      <c r="B753" s="186" t="s">
        <v>97</v>
      </c>
      <c r="C753" s="28" t="s">
        <v>113</v>
      </c>
      <c r="D753" s="28" t="str">
        <f t="shared" si="330"/>
        <v/>
      </c>
      <c r="E753" s="256" t="str">
        <f t="shared" si="331"/>
        <v/>
      </c>
      <c r="F753" s="256" t="str">
        <f t="shared" si="332"/>
        <v/>
      </c>
      <c r="G753" s="159" t="str">
        <f t="shared" si="333"/>
        <v>rumus</v>
      </c>
      <c r="H753" s="39" t="s">
        <v>66</v>
      </c>
      <c r="I753" s="38"/>
      <c r="J753" s="37" t="str">
        <f>IF(I753&lt;&gt;"",IF(I753="Ketua Penguji",1,IF(I753="Anggota Penguji",0.5,"")),"rumus")</f>
        <v>rumus</v>
      </c>
      <c r="K753" s="35"/>
      <c r="L753" s="35"/>
      <c r="M753" s="35"/>
    </row>
    <row r="754" spans="1:14" ht="14.55" hidden="1" customHeight="1" x14ac:dyDescent="0.45">
      <c r="A754" s="67">
        <v>4</v>
      </c>
      <c r="B754" s="186" t="s">
        <v>97</v>
      </c>
      <c r="C754" s="28" t="s">
        <v>113</v>
      </c>
      <c r="D754" s="28" t="str">
        <f t="shared" si="330"/>
        <v/>
      </c>
      <c r="E754" s="256" t="str">
        <f t="shared" si="331"/>
        <v/>
      </c>
      <c r="F754" s="256" t="str">
        <f t="shared" si="332"/>
        <v/>
      </c>
      <c r="G754" s="159" t="str">
        <f t="shared" si="333"/>
        <v>rumus</v>
      </c>
      <c r="H754" s="39" t="s">
        <v>66</v>
      </c>
      <c r="I754" s="38"/>
      <c r="J754" s="37" t="str">
        <f t="shared" ref="J754:J760" si="335">IF(I754&lt;&gt;"",IF(I754="Ketua Penguji",1,IF(I754="Anggota Penguji",0.5,"")),"rumus")</f>
        <v>rumus</v>
      </c>
      <c r="K754" s="35"/>
      <c r="L754" s="35"/>
      <c r="M754" s="35"/>
    </row>
    <row r="755" spans="1:14" ht="14.55" hidden="1" customHeight="1" x14ac:dyDescent="0.45">
      <c r="A755" s="67">
        <v>5</v>
      </c>
      <c r="B755" s="186" t="s">
        <v>97</v>
      </c>
      <c r="C755" s="28" t="s">
        <v>113</v>
      </c>
      <c r="D755" s="28" t="str">
        <f t="shared" si="330"/>
        <v/>
      </c>
      <c r="E755" s="256" t="str">
        <f t="shared" si="331"/>
        <v/>
      </c>
      <c r="F755" s="256" t="str">
        <f t="shared" si="332"/>
        <v/>
      </c>
      <c r="G755" s="159" t="str">
        <f t="shared" si="333"/>
        <v>rumus</v>
      </c>
      <c r="H755" s="39" t="s">
        <v>66</v>
      </c>
      <c r="I755" s="38"/>
      <c r="J755" s="37" t="str">
        <f t="shared" si="335"/>
        <v>rumus</v>
      </c>
      <c r="K755" s="35"/>
      <c r="L755" s="35"/>
      <c r="M755" s="35"/>
    </row>
    <row r="756" spans="1:14" ht="14.55" hidden="1" customHeight="1" x14ac:dyDescent="0.45">
      <c r="A756" s="67">
        <v>6</v>
      </c>
      <c r="B756" s="186" t="s">
        <v>97</v>
      </c>
      <c r="C756" s="28" t="s">
        <v>113</v>
      </c>
      <c r="D756" s="28" t="str">
        <f t="shared" si="330"/>
        <v/>
      </c>
      <c r="E756" s="256" t="str">
        <f t="shared" si="331"/>
        <v/>
      </c>
      <c r="F756" s="256" t="str">
        <f t="shared" si="332"/>
        <v/>
      </c>
      <c r="G756" s="159" t="str">
        <f t="shared" si="333"/>
        <v>rumus</v>
      </c>
      <c r="H756" s="39" t="s">
        <v>66</v>
      </c>
      <c r="I756" s="38"/>
      <c r="J756" s="37" t="str">
        <f t="shared" si="335"/>
        <v>rumus</v>
      </c>
      <c r="K756" s="35"/>
      <c r="L756" s="35"/>
      <c r="M756" s="35"/>
    </row>
    <row r="757" spans="1:14" ht="14.55" hidden="1" customHeight="1" x14ac:dyDescent="0.45">
      <c r="A757" s="67">
        <v>7</v>
      </c>
      <c r="B757" s="186" t="s">
        <v>97</v>
      </c>
      <c r="C757" s="28" t="s">
        <v>113</v>
      </c>
      <c r="D757" s="28" t="str">
        <f t="shared" si="330"/>
        <v/>
      </c>
      <c r="E757" s="256" t="str">
        <f t="shared" si="331"/>
        <v/>
      </c>
      <c r="F757" s="256" t="str">
        <f t="shared" si="332"/>
        <v/>
      </c>
      <c r="G757" s="159" t="str">
        <f t="shared" si="333"/>
        <v>rumus</v>
      </c>
      <c r="H757" s="39" t="s">
        <v>66</v>
      </c>
      <c r="I757" s="38"/>
      <c r="J757" s="37" t="str">
        <f t="shared" si="335"/>
        <v>rumus</v>
      </c>
      <c r="K757" s="35"/>
      <c r="L757" s="35"/>
      <c r="M757" s="35"/>
    </row>
    <row r="758" spans="1:14" ht="14.55" hidden="1" customHeight="1" x14ac:dyDescent="0.45">
      <c r="A758" s="67">
        <v>8</v>
      </c>
      <c r="B758" s="186" t="s">
        <v>97</v>
      </c>
      <c r="C758" s="28" t="s">
        <v>113</v>
      </c>
      <c r="D758" s="28" t="str">
        <f t="shared" si="330"/>
        <v/>
      </c>
      <c r="E758" s="256" t="str">
        <f t="shared" si="331"/>
        <v/>
      </c>
      <c r="F758" s="256" t="str">
        <f t="shared" si="332"/>
        <v/>
      </c>
      <c r="G758" s="159" t="str">
        <f t="shared" si="333"/>
        <v>rumus</v>
      </c>
      <c r="H758" s="39" t="s">
        <v>66</v>
      </c>
      <c r="I758" s="38"/>
      <c r="J758" s="37" t="str">
        <f t="shared" si="335"/>
        <v>rumus</v>
      </c>
      <c r="K758" s="35"/>
      <c r="L758" s="35"/>
      <c r="M758" s="35"/>
    </row>
    <row r="759" spans="1:14" ht="14.55" hidden="1" customHeight="1" x14ac:dyDescent="0.45">
      <c r="A759" s="67">
        <v>9</v>
      </c>
      <c r="B759" s="186" t="s">
        <v>97</v>
      </c>
      <c r="C759" s="28" t="s">
        <v>113</v>
      </c>
      <c r="D759" s="28" t="str">
        <f t="shared" si="330"/>
        <v/>
      </c>
      <c r="E759" s="256" t="str">
        <f t="shared" si="331"/>
        <v/>
      </c>
      <c r="F759" s="256" t="str">
        <f t="shared" si="332"/>
        <v/>
      </c>
      <c r="G759" s="159" t="str">
        <f t="shared" si="333"/>
        <v>rumus</v>
      </c>
      <c r="H759" s="39" t="s">
        <v>66</v>
      </c>
      <c r="I759" s="38"/>
      <c r="J759" s="37" t="str">
        <f t="shared" si="335"/>
        <v>rumus</v>
      </c>
      <c r="K759" s="35"/>
      <c r="L759" s="35"/>
      <c r="M759" s="35"/>
    </row>
    <row r="760" spans="1:14" ht="14.55" hidden="1" customHeight="1" x14ac:dyDescent="0.45">
      <c r="A760" s="67">
        <v>10</v>
      </c>
      <c r="B760" s="186" t="s">
        <v>97</v>
      </c>
      <c r="C760" s="28" t="s">
        <v>113</v>
      </c>
      <c r="D760" s="28" t="str">
        <f t="shared" si="330"/>
        <v/>
      </c>
      <c r="E760" s="256" t="str">
        <f t="shared" si="331"/>
        <v/>
      </c>
      <c r="F760" s="256" t="str">
        <f t="shared" si="332"/>
        <v/>
      </c>
      <c r="G760" s="159" t="str">
        <f t="shared" si="333"/>
        <v>rumus</v>
      </c>
      <c r="H760" s="39" t="s">
        <v>66</v>
      </c>
      <c r="I760" s="38"/>
      <c r="J760" s="37" t="str">
        <f t="shared" si="335"/>
        <v>rumus</v>
      </c>
      <c r="K760" s="35"/>
      <c r="L760" s="35"/>
      <c r="M760" s="35"/>
    </row>
    <row r="761" spans="1:14" ht="15" hidden="1" customHeight="1" x14ac:dyDescent="0.45">
      <c r="A761" s="67"/>
      <c r="B761" s="168" t="str">
        <f>"b. Semester Genap "&amp;IF(C762&lt;&gt;"",C762,"")&amp;" :"</f>
        <v>b. Semester Genap 2013/2014 :</v>
      </c>
      <c r="C761" s="57"/>
      <c r="D761" s="57"/>
      <c r="E761" s="57"/>
      <c r="F761" s="57"/>
      <c r="G761" s="57"/>
      <c r="H761" s="124"/>
      <c r="I761" s="35"/>
      <c r="J761" s="35"/>
      <c r="K761" s="106">
        <f>IF(COUNTIF(I751:I760,"Ketua Penguji")&lt;=4,SUMIF(I751:I760,"Ketua Penguji",J751:J760),4*1)+IF(COUNTIF(I751:I760,"Anggota Penguji")&lt;=8,SUMIF(I751:I760,"Anggota Penguji",J751:J760),8*0.5)</f>
        <v>0</v>
      </c>
      <c r="L761" t="s">
        <v>282</v>
      </c>
      <c r="M761">
        <f>IF(COUNTIF(I751:I760,"Ketua Penguji")&lt;=4,SUMIF(I751:I760,"Ketua Penguji",J751:J760),4*1)</f>
        <v>0</v>
      </c>
      <c r="N761">
        <f>IF(COUNTIF(I751:I760,"Anggota Penguji")&lt;=8,SUMIF(I751:I760,"Anggota Penguji",J751:J760),8*0.5)</f>
        <v>0</v>
      </c>
    </row>
    <row r="762" spans="1:14" ht="14.55" hidden="1" customHeight="1" x14ac:dyDescent="0.45">
      <c r="A762" s="67">
        <v>1</v>
      </c>
      <c r="B762" s="186" t="s">
        <v>97</v>
      </c>
      <c r="C762" s="28" t="s">
        <v>114</v>
      </c>
      <c r="D762" s="28" t="str">
        <f t="shared" ref="D762:D771" si="336">IF(G762&lt;&gt;"rumus","Lulusan","")</f>
        <v/>
      </c>
      <c r="E762" s="256" t="str">
        <f t="shared" ref="E762:E771" si="337">IF(I762&lt;&gt;"",1,"")</f>
        <v/>
      </c>
      <c r="F762" s="256" t="str">
        <f>IF(I762&lt;&gt;"",J762,"")</f>
        <v/>
      </c>
      <c r="G762" s="159" t="str">
        <f>IF(J762&lt;&gt;"rumus","1 x "&amp;J762&amp;" = "&amp;J762,"rumus")</f>
        <v>rumus</v>
      </c>
      <c r="H762" s="28" t="s">
        <v>109</v>
      </c>
      <c r="I762" s="38"/>
      <c r="J762" s="37" t="str">
        <f>IF(I762&lt;&gt;"",IF(I762="Ketua Penguji",1,IF(I762="Anggota Penguji",0.5,"")),"rumus")</f>
        <v>rumus</v>
      </c>
      <c r="K762" s="35"/>
      <c r="L762" s="35"/>
      <c r="M762" s="35"/>
    </row>
    <row r="763" spans="1:14" ht="14.55" hidden="1" customHeight="1" x14ac:dyDescent="0.45">
      <c r="A763" s="67">
        <v>2</v>
      </c>
      <c r="B763" s="186" t="s">
        <v>97</v>
      </c>
      <c r="C763" s="28" t="s">
        <v>114</v>
      </c>
      <c r="D763" s="28" t="str">
        <f t="shared" si="336"/>
        <v/>
      </c>
      <c r="E763" s="256" t="str">
        <f t="shared" si="337"/>
        <v/>
      </c>
      <c r="F763" s="256" t="str">
        <f t="shared" ref="F763:F771" si="338">IF(I763&lt;&gt;"",J763,"")</f>
        <v/>
      </c>
      <c r="G763" s="159" t="str">
        <f t="shared" ref="G763:G771" si="339">IF(J763&lt;&gt;"rumus","1 x "&amp;J763&amp;" = "&amp;J763,"rumus")</f>
        <v>rumus</v>
      </c>
      <c r="H763" s="39" t="s">
        <v>66</v>
      </c>
      <c r="I763" s="38"/>
      <c r="J763" s="37" t="str">
        <f t="shared" ref="J763" si="340">IF(I763&lt;&gt;"",IF(I763="Ketua Penguji",1,IF(I763="Anggota Penguji",0.5,"")),"rumus")</f>
        <v>rumus</v>
      </c>
      <c r="K763" s="35"/>
      <c r="L763" s="35"/>
      <c r="M763" s="35"/>
    </row>
    <row r="764" spans="1:14" ht="14.55" hidden="1" customHeight="1" x14ac:dyDescent="0.45">
      <c r="A764" s="67">
        <v>3</v>
      </c>
      <c r="B764" s="186" t="s">
        <v>97</v>
      </c>
      <c r="C764" s="28" t="s">
        <v>114</v>
      </c>
      <c r="D764" s="28" t="str">
        <f t="shared" si="336"/>
        <v/>
      </c>
      <c r="E764" s="256" t="str">
        <f t="shared" si="337"/>
        <v/>
      </c>
      <c r="F764" s="256" t="str">
        <f t="shared" si="338"/>
        <v/>
      </c>
      <c r="G764" s="159" t="str">
        <f t="shared" si="339"/>
        <v>rumus</v>
      </c>
      <c r="H764" s="39" t="s">
        <v>66</v>
      </c>
      <c r="I764" s="38"/>
      <c r="J764" s="37" t="str">
        <f>IF(I764&lt;&gt;"",IF(I764="Ketua Penguji",1,IF(I764="Anggota Penguji",0.5,"")),"rumus")</f>
        <v>rumus</v>
      </c>
      <c r="K764" s="35"/>
      <c r="L764" s="35"/>
      <c r="M764" s="35"/>
    </row>
    <row r="765" spans="1:14" ht="14.55" hidden="1" customHeight="1" x14ac:dyDescent="0.45">
      <c r="A765" s="67">
        <v>4</v>
      </c>
      <c r="B765" s="186" t="s">
        <v>97</v>
      </c>
      <c r="C765" s="28" t="s">
        <v>114</v>
      </c>
      <c r="D765" s="28" t="str">
        <f t="shared" si="336"/>
        <v/>
      </c>
      <c r="E765" s="256" t="str">
        <f t="shared" si="337"/>
        <v/>
      </c>
      <c r="F765" s="256" t="str">
        <f t="shared" si="338"/>
        <v/>
      </c>
      <c r="G765" s="159" t="str">
        <f t="shared" si="339"/>
        <v>rumus</v>
      </c>
      <c r="H765" s="39" t="s">
        <v>66</v>
      </c>
      <c r="I765" s="38"/>
      <c r="J765" s="37" t="str">
        <f t="shared" ref="J765:J771" si="341">IF(I765&lt;&gt;"",IF(I765="Ketua Penguji",1,IF(I765="Anggota Penguji",0.5,"")),"rumus")</f>
        <v>rumus</v>
      </c>
      <c r="K765" s="35"/>
      <c r="L765" s="35"/>
      <c r="M765" s="35"/>
    </row>
    <row r="766" spans="1:14" ht="14.55" hidden="1" customHeight="1" x14ac:dyDescent="0.45">
      <c r="A766" s="67">
        <v>5</v>
      </c>
      <c r="B766" s="186" t="s">
        <v>97</v>
      </c>
      <c r="C766" s="28" t="s">
        <v>114</v>
      </c>
      <c r="D766" s="28" t="str">
        <f t="shared" si="336"/>
        <v/>
      </c>
      <c r="E766" s="256" t="str">
        <f t="shared" si="337"/>
        <v/>
      </c>
      <c r="F766" s="256" t="str">
        <f t="shared" si="338"/>
        <v/>
      </c>
      <c r="G766" s="159" t="str">
        <f t="shared" si="339"/>
        <v>rumus</v>
      </c>
      <c r="H766" s="39" t="s">
        <v>66</v>
      </c>
      <c r="I766" s="38"/>
      <c r="J766" s="37" t="str">
        <f t="shared" si="341"/>
        <v>rumus</v>
      </c>
      <c r="K766" s="35"/>
      <c r="L766" s="35"/>
      <c r="M766" s="35"/>
    </row>
    <row r="767" spans="1:14" ht="14.55" hidden="1" customHeight="1" x14ac:dyDescent="0.45">
      <c r="A767" s="67">
        <v>6</v>
      </c>
      <c r="B767" s="186" t="s">
        <v>97</v>
      </c>
      <c r="C767" s="28" t="s">
        <v>114</v>
      </c>
      <c r="D767" s="28" t="str">
        <f t="shared" si="336"/>
        <v/>
      </c>
      <c r="E767" s="256" t="str">
        <f t="shared" si="337"/>
        <v/>
      </c>
      <c r="F767" s="256" t="str">
        <f t="shared" si="338"/>
        <v/>
      </c>
      <c r="G767" s="159" t="str">
        <f t="shared" si="339"/>
        <v>rumus</v>
      </c>
      <c r="H767" s="39" t="s">
        <v>66</v>
      </c>
      <c r="I767" s="38"/>
      <c r="J767" s="37" t="str">
        <f t="shared" si="341"/>
        <v>rumus</v>
      </c>
      <c r="K767" s="35"/>
      <c r="L767" s="35"/>
      <c r="M767" s="35"/>
    </row>
    <row r="768" spans="1:14" ht="14.55" hidden="1" customHeight="1" x14ac:dyDescent="0.45">
      <c r="A768" s="67">
        <v>7</v>
      </c>
      <c r="B768" s="186" t="s">
        <v>97</v>
      </c>
      <c r="C768" s="28" t="s">
        <v>114</v>
      </c>
      <c r="D768" s="28" t="str">
        <f t="shared" si="336"/>
        <v/>
      </c>
      <c r="E768" s="256" t="str">
        <f t="shared" si="337"/>
        <v/>
      </c>
      <c r="F768" s="256" t="str">
        <f t="shared" si="338"/>
        <v/>
      </c>
      <c r="G768" s="159" t="str">
        <f t="shared" si="339"/>
        <v>rumus</v>
      </c>
      <c r="H768" s="39" t="s">
        <v>66</v>
      </c>
      <c r="I768" s="38"/>
      <c r="J768" s="37" t="str">
        <f t="shared" si="341"/>
        <v>rumus</v>
      </c>
      <c r="K768" s="35"/>
      <c r="L768" s="35"/>
      <c r="M768" s="35"/>
    </row>
    <row r="769" spans="1:14" ht="14.55" hidden="1" customHeight="1" x14ac:dyDescent="0.45">
      <c r="A769" s="67">
        <v>8</v>
      </c>
      <c r="B769" s="186" t="s">
        <v>97</v>
      </c>
      <c r="C769" s="28" t="s">
        <v>114</v>
      </c>
      <c r="D769" s="28" t="str">
        <f t="shared" si="336"/>
        <v/>
      </c>
      <c r="E769" s="256" t="str">
        <f t="shared" si="337"/>
        <v/>
      </c>
      <c r="F769" s="256" t="str">
        <f t="shared" si="338"/>
        <v/>
      </c>
      <c r="G769" s="159" t="str">
        <f t="shared" si="339"/>
        <v>rumus</v>
      </c>
      <c r="H769" s="39" t="s">
        <v>66</v>
      </c>
      <c r="I769" s="38"/>
      <c r="J769" s="37" t="str">
        <f t="shared" si="341"/>
        <v>rumus</v>
      </c>
      <c r="K769" s="35"/>
      <c r="L769" s="35"/>
      <c r="M769" s="35"/>
    </row>
    <row r="770" spans="1:14" ht="14.55" hidden="1" customHeight="1" x14ac:dyDescent="0.45">
      <c r="A770" s="67">
        <v>9</v>
      </c>
      <c r="B770" s="186" t="s">
        <v>97</v>
      </c>
      <c r="C770" s="28" t="s">
        <v>114</v>
      </c>
      <c r="D770" s="28" t="str">
        <f t="shared" si="336"/>
        <v/>
      </c>
      <c r="E770" s="256" t="str">
        <f t="shared" si="337"/>
        <v/>
      </c>
      <c r="F770" s="256" t="str">
        <f t="shared" si="338"/>
        <v/>
      </c>
      <c r="G770" s="159" t="str">
        <f t="shared" si="339"/>
        <v>rumus</v>
      </c>
      <c r="H770" s="39" t="s">
        <v>66</v>
      </c>
      <c r="I770" s="38"/>
      <c r="J770" s="37" t="str">
        <f t="shared" si="341"/>
        <v>rumus</v>
      </c>
      <c r="K770" s="35"/>
      <c r="L770" s="35"/>
      <c r="M770" s="35"/>
    </row>
    <row r="771" spans="1:14" ht="14.55" hidden="1" customHeight="1" x14ac:dyDescent="0.45">
      <c r="A771" s="67">
        <v>10</v>
      </c>
      <c r="B771" s="186" t="s">
        <v>97</v>
      </c>
      <c r="C771" s="28" t="s">
        <v>114</v>
      </c>
      <c r="D771" s="28" t="str">
        <f t="shared" si="336"/>
        <v/>
      </c>
      <c r="E771" s="256" t="str">
        <f t="shared" si="337"/>
        <v/>
      </c>
      <c r="F771" s="256" t="str">
        <f t="shared" si="338"/>
        <v/>
      </c>
      <c r="G771" s="159" t="str">
        <f t="shared" si="339"/>
        <v>rumus</v>
      </c>
      <c r="H771" s="39" t="s">
        <v>66</v>
      </c>
      <c r="I771" s="38"/>
      <c r="J771" s="37" t="str">
        <f t="shared" si="341"/>
        <v>rumus</v>
      </c>
      <c r="K771" s="35"/>
      <c r="L771" s="35"/>
      <c r="M771" s="35"/>
    </row>
    <row r="772" spans="1:14" ht="15" customHeight="1" x14ac:dyDescent="0.45">
      <c r="A772" s="67"/>
      <c r="B772" s="168" t="str">
        <f>"b. Semester Genap "&amp;IF(C773&lt;&gt;"",C773,"")&amp;" :"</f>
        <v>b. Semester Genap 2015/2016 :</v>
      </c>
      <c r="C772" s="57"/>
      <c r="D772" s="57"/>
      <c r="E772" s="57"/>
      <c r="F772" s="57"/>
      <c r="G772" s="57"/>
      <c r="H772" s="185"/>
      <c r="I772" s="35"/>
      <c r="J772" s="35"/>
      <c r="K772" s="106">
        <f>IF(COUNTIF(I762:I771,"Ketua Penguji")&lt;=4,SUMIF(I762:I771,"Ketua Penguji",J762:J771),4*1)+IF(COUNTIF(I762:I771,"Anggota Penguji")&lt;=8,SUMIF(I762:I771,"Anggota Penguji",J762:J771),8*0.5)</f>
        <v>0</v>
      </c>
      <c r="L772" t="s">
        <v>282</v>
      </c>
      <c r="M772">
        <f>IF(COUNTIF(I762:I771,"Ketua Penguji")&lt;=4,SUMIF(I762:I771,"Ketua Penguji",J762:J771),4*1)</f>
        <v>0</v>
      </c>
      <c r="N772">
        <f>IF(COUNTIF(I762:I771,"Anggota Penguji")&lt;=8,SUMIF(I762:I771,"Anggota Penguji",J762:J771),8*0.5)</f>
        <v>0</v>
      </c>
    </row>
    <row r="773" spans="1:14" x14ac:dyDescent="0.45">
      <c r="A773" s="67">
        <v>1</v>
      </c>
      <c r="B773" s="823" t="s">
        <v>915</v>
      </c>
      <c r="C773" s="820" t="s">
        <v>252</v>
      </c>
      <c r="D773" s="28" t="str">
        <f t="shared" ref="D773:D782" si="342">IF(G773&lt;&gt;"rumus","Lulusan","")</f>
        <v>Lulusan</v>
      </c>
      <c r="E773" s="256">
        <f t="shared" ref="E773:E782" si="343">IF(I773&lt;&gt;"",1,"")</f>
        <v>1</v>
      </c>
      <c r="F773" s="256">
        <f>IF(I773&lt;&gt;"",J773,"")</f>
        <v>1</v>
      </c>
      <c r="G773" s="159" t="str">
        <f>IF(J773&lt;&gt;"rumus","1 x "&amp;J773&amp;" = "&amp;J773,"rumus")</f>
        <v>1 x 1 = 1</v>
      </c>
      <c r="H773" s="820" t="s">
        <v>1035</v>
      </c>
      <c r="I773" s="38" t="s">
        <v>675</v>
      </c>
      <c r="J773" s="37">
        <f>IF(I773&lt;&gt;"",IF(I773="Ketua Penguji",1,IF(I773="Anggota Penguji",0.5,"")),"rumus")</f>
        <v>1</v>
      </c>
      <c r="K773" s="35"/>
      <c r="L773" s="35"/>
      <c r="M773" s="35"/>
    </row>
    <row r="774" spans="1:14" x14ac:dyDescent="0.45">
      <c r="A774" s="67">
        <v>2</v>
      </c>
      <c r="B774" s="823" t="s">
        <v>916</v>
      </c>
      <c r="C774" s="820" t="s">
        <v>252</v>
      </c>
      <c r="D774" s="28" t="str">
        <f t="shared" si="342"/>
        <v>Lulusan</v>
      </c>
      <c r="E774" s="256">
        <f t="shared" si="343"/>
        <v>1</v>
      </c>
      <c r="F774" s="256">
        <f t="shared" ref="F774:F782" si="344">IF(I774&lt;&gt;"",J774,"")</f>
        <v>1</v>
      </c>
      <c r="G774" s="159" t="str">
        <f t="shared" ref="G774:G782" si="345">IF(J774&lt;&gt;"rumus","1 x "&amp;J774&amp;" = "&amp;J774,"rumus")</f>
        <v>1 x 1 = 1</v>
      </c>
      <c r="H774" s="820" t="s">
        <v>1036</v>
      </c>
      <c r="I774" s="38" t="s">
        <v>675</v>
      </c>
      <c r="J774" s="37">
        <f t="shared" ref="J774" si="346">IF(I774&lt;&gt;"",IF(I774="Ketua Penguji",1,IF(I774="Anggota Penguji",0.5,"")),"rumus")</f>
        <v>1</v>
      </c>
      <c r="K774" s="35"/>
      <c r="L774" s="35"/>
      <c r="M774" s="35"/>
    </row>
    <row r="775" spans="1:14" x14ac:dyDescent="0.45">
      <c r="A775" s="67">
        <v>3</v>
      </c>
      <c r="B775" s="823" t="s">
        <v>917</v>
      </c>
      <c r="C775" s="820" t="s">
        <v>252</v>
      </c>
      <c r="D775" s="28" t="str">
        <f t="shared" si="342"/>
        <v>Lulusan</v>
      </c>
      <c r="E775" s="256">
        <f t="shared" si="343"/>
        <v>1</v>
      </c>
      <c r="F775" s="256">
        <f t="shared" si="344"/>
        <v>1</v>
      </c>
      <c r="G775" s="159" t="str">
        <f t="shared" si="345"/>
        <v>1 x 1 = 1</v>
      </c>
      <c r="H775" s="820" t="s">
        <v>1037</v>
      </c>
      <c r="I775" s="38" t="s">
        <v>675</v>
      </c>
      <c r="J775" s="37">
        <f>IF(I775&lt;&gt;"",IF(I775="Ketua Penguji",1,IF(I775="Anggota Penguji",0.5,"")),"rumus")</f>
        <v>1</v>
      </c>
      <c r="K775" s="35"/>
      <c r="L775" s="35"/>
      <c r="M775" s="35"/>
    </row>
    <row r="776" spans="1:14" x14ac:dyDescent="0.45">
      <c r="A776" s="67">
        <v>4</v>
      </c>
      <c r="B776" s="823" t="s">
        <v>918</v>
      </c>
      <c r="C776" s="820" t="s">
        <v>252</v>
      </c>
      <c r="D776" s="28" t="str">
        <f t="shared" si="342"/>
        <v>Lulusan</v>
      </c>
      <c r="E776" s="256">
        <f t="shared" si="343"/>
        <v>1</v>
      </c>
      <c r="F776" s="256">
        <f t="shared" si="344"/>
        <v>0.5</v>
      </c>
      <c r="G776" s="159" t="str">
        <f t="shared" si="345"/>
        <v>1 x 0,5 = 0,5</v>
      </c>
      <c r="H776" s="820" t="s">
        <v>1037</v>
      </c>
      <c r="I776" s="38" t="s">
        <v>676</v>
      </c>
      <c r="J776" s="37">
        <f t="shared" ref="J776:J782" si="347">IF(I776&lt;&gt;"",IF(I776="Ketua Penguji",1,IF(I776="Anggota Penguji",0.5,"")),"rumus")</f>
        <v>0.5</v>
      </c>
      <c r="K776" s="35"/>
      <c r="L776" s="35"/>
      <c r="M776" s="35"/>
    </row>
    <row r="777" spans="1:14" x14ac:dyDescent="0.45">
      <c r="A777" s="67">
        <v>5</v>
      </c>
      <c r="B777" s="823" t="s">
        <v>919</v>
      </c>
      <c r="C777" s="820" t="s">
        <v>252</v>
      </c>
      <c r="D777" s="28" t="str">
        <f t="shared" si="342"/>
        <v>Lulusan</v>
      </c>
      <c r="E777" s="256">
        <f t="shared" si="343"/>
        <v>1</v>
      </c>
      <c r="F777" s="256">
        <f t="shared" si="344"/>
        <v>1</v>
      </c>
      <c r="G777" s="159" t="str">
        <f t="shared" si="345"/>
        <v>1 x 1 = 1</v>
      </c>
      <c r="H777" s="820" t="s">
        <v>1038</v>
      </c>
      <c r="I777" s="38" t="s">
        <v>675</v>
      </c>
      <c r="J777" s="37">
        <f t="shared" si="347"/>
        <v>1</v>
      </c>
      <c r="K777" s="35"/>
      <c r="L777" s="35"/>
      <c r="M777" s="35"/>
    </row>
    <row r="778" spans="1:14" x14ac:dyDescent="0.45">
      <c r="A778" s="67">
        <v>6</v>
      </c>
      <c r="B778" s="823" t="s">
        <v>920</v>
      </c>
      <c r="C778" s="820" t="s">
        <v>252</v>
      </c>
      <c r="D778" s="28" t="str">
        <f t="shared" si="342"/>
        <v>Lulusan</v>
      </c>
      <c r="E778" s="256">
        <f t="shared" si="343"/>
        <v>1</v>
      </c>
      <c r="F778" s="256">
        <f t="shared" si="344"/>
        <v>0.5</v>
      </c>
      <c r="G778" s="159" t="str">
        <f t="shared" si="345"/>
        <v>1 x 0,5 = 0,5</v>
      </c>
      <c r="H778" s="820" t="s">
        <v>1038</v>
      </c>
      <c r="I778" s="38" t="s">
        <v>676</v>
      </c>
      <c r="J778" s="37">
        <f t="shared" si="347"/>
        <v>0.5</v>
      </c>
      <c r="K778" s="35"/>
      <c r="L778" s="35"/>
      <c r="M778" s="35"/>
    </row>
    <row r="779" spans="1:14" hidden="1" x14ac:dyDescent="0.45">
      <c r="A779" s="67">
        <v>7</v>
      </c>
      <c r="B779" s="186" t="s">
        <v>97</v>
      </c>
      <c r="C779" s="28" t="s">
        <v>251</v>
      </c>
      <c r="D779" s="28" t="str">
        <f t="shared" si="342"/>
        <v/>
      </c>
      <c r="E779" s="256" t="str">
        <f t="shared" si="343"/>
        <v/>
      </c>
      <c r="F779" s="256" t="str">
        <f t="shared" si="344"/>
        <v/>
      </c>
      <c r="G779" s="159" t="str">
        <f t="shared" si="345"/>
        <v>rumus</v>
      </c>
      <c r="H779" s="39" t="s">
        <v>66</v>
      </c>
      <c r="I779" s="38"/>
      <c r="J779" s="37" t="str">
        <f t="shared" si="347"/>
        <v>rumus</v>
      </c>
      <c r="K779" s="35"/>
      <c r="L779" s="35"/>
      <c r="M779" s="35"/>
    </row>
    <row r="780" spans="1:14" hidden="1" x14ac:dyDescent="0.45">
      <c r="A780" s="67">
        <v>8</v>
      </c>
      <c r="B780" s="186" t="s">
        <v>97</v>
      </c>
      <c r="C780" s="28" t="s">
        <v>251</v>
      </c>
      <c r="D780" s="28" t="str">
        <f t="shared" si="342"/>
        <v/>
      </c>
      <c r="E780" s="256" t="str">
        <f t="shared" si="343"/>
        <v/>
      </c>
      <c r="F780" s="256" t="str">
        <f t="shared" si="344"/>
        <v/>
      </c>
      <c r="G780" s="159" t="str">
        <f t="shared" si="345"/>
        <v>rumus</v>
      </c>
      <c r="H780" s="39" t="s">
        <v>66</v>
      </c>
      <c r="I780" s="38"/>
      <c r="J780" s="37" t="str">
        <f t="shared" si="347"/>
        <v>rumus</v>
      </c>
      <c r="K780" s="35"/>
      <c r="L780" s="35"/>
      <c r="M780" s="35"/>
    </row>
    <row r="781" spans="1:14" hidden="1" x14ac:dyDescent="0.45">
      <c r="A781" s="67">
        <v>9</v>
      </c>
      <c r="B781" s="186" t="s">
        <v>97</v>
      </c>
      <c r="C781" s="28" t="s">
        <v>251</v>
      </c>
      <c r="D781" s="28" t="str">
        <f t="shared" si="342"/>
        <v/>
      </c>
      <c r="E781" s="256" t="str">
        <f t="shared" si="343"/>
        <v/>
      </c>
      <c r="F781" s="256" t="str">
        <f t="shared" si="344"/>
        <v/>
      </c>
      <c r="G781" s="159" t="str">
        <f t="shared" si="345"/>
        <v>rumus</v>
      </c>
      <c r="H781" s="39" t="s">
        <v>66</v>
      </c>
      <c r="I781" s="38"/>
      <c r="J781" s="37" t="str">
        <f t="shared" si="347"/>
        <v>rumus</v>
      </c>
      <c r="K781" s="35"/>
      <c r="L781" s="35"/>
      <c r="M781" s="35"/>
    </row>
    <row r="782" spans="1:14" hidden="1" x14ac:dyDescent="0.45">
      <c r="A782" s="67">
        <v>10</v>
      </c>
      <c r="B782" s="186" t="s">
        <v>97</v>
      </c>
      <c r="C782" s="28" t="s">
        <v>251</v>
      </c>
      <c r="D782" s="28" t="str">
        <f t="shared" si="342"/>
        <v/>
      </c>
      <c r="E782" s="256" t="str">
        <f t="shared" si="343"/>
        <v/>
      </c>
      <c r="F782" s="256" t="str">
        <f t="shared" si="344"/>
        <v/>
      </c>
      <c r="G782" s="159" t="str">
        <f t="shared" si="345"/>
        <v>rumus</v>
      </c>
      <c r="H782" s="39" t="s">
        <v>66</v>
      </c>
      <c r="I782" s="38"/>
      <c r="J782" s="37" t="str">
        <f t="shared" si="347"/>
        <v>rumus</v>
      </c>
      <c r="K782" s="35"/>
      <c r="L782" s="35"/>
      <c r="M782" s="35"/>
    </row>
    <row r="783" spans="1:14" ht="15" customHeight="1" x14ac:dyDescent="0.45">
      <c r="A783" s="67"/>
      <c r="B783" s="168" t="str">
        <f>"b. Semester Genap "&amp;IF(C784&lt;&gt;"",C784,"")&amp;" :"</f>
        <v>b. Semester Genap 2016/2017 :</v>
      </c>
      <c r="C783" s="57"/>
      <c r="D783" s="57"/>
      <c r="E783" s="57"/>
      <c r="F783" s="57"/>
      <c r="G783" s="57"/>
      <c r="H783" s="185"/>
      <c r="I783" s="35"/>
      <c r="J783" s="35"/>
      <c r="K783" s="106">
        <f>IF(COUNTIF(I773:I782,"Ketua Penguji")&lt;=4,SUMIF(I773:I782,"Ketua Penguji",J773:J782),4*1)+IF(COUNTIF(I773:I782,"Anggota Penguji")&lt;=8,SUMIF(I773:I782,"Anggota Penguji",J773:J782),8*0.5)</f>
        <v>5</v>
      </c>
      <c r="L783" t="s">
        <v>282</v>
      </c>
      <c r="M783">
        <f>IF(COUNTIF(I773:I782,"Ketua Penguji")&lt;=4,SUMIF(I773:I782,"Ketua Penguji",J773:J782),4*1)</f>
        <v>4</v>
      </c>
      <c r="N783">
        <f>IF(COUNTIF(I773:I782,"Anggota Penguji")&lt;=8,SUMIF(I773:I782,"Anggota Penguji",J773:J782),8*0.5)</f>
        <v>1</v>
      </c>
    </row>
    <row r="784" spans="1:14" x14ac:dyDescent="0.45">
      <c r="A784" s="67">
        <v>1</v>
      </c>
      <c r="B784" s="823" t="s">
        <v>921</v>
      </c>
      <c r="C784" s="820" t="s">
        <v>798</v>
      </c>
      <c r="D784" s="28" t="str">
        <f t="shared" ref="D784:D793" si="348">IF(G784&lt;&gt;"rumus","Lulusan","")</f>
        <v>Lulusan</v>
      </c>
      <c r="E784" s="256">
        <f t="shared" ref="E784:E793" si="349">IF(I784&lt;&gt;"",1,"")</f>
        <v>1</v>
      </c>
      <c r="F784" s="256">
        <f>IF(I784&lt;&gt;"",J784,"")</f>
        <v>1</v>
      </c>
      <c r="G784" s="159" t="str">
        <f>IF(J784&lt;&gt;"rumus","1 x "&amp;J784&amp;" = "&amp;J784,"rumus")</f>
        <v>1 x 1 = 1</v>
      </c>
      <c r="H784" s="820" t="s">
        <v>1039</v>
      </c>
      <c r="I784" s="38" t="s">
        <v>675</v>
      </c>
      <c r="J784" s="37">
        <f>IF(I784&lt;&gt;"",IF(I784="Ketua Penguji",1,IF(I784="Anggota Penguji",0.5,"")),"rumus")</f>
        <v>1</v>
      </c>
      <c r="K784" s="35"/>
      <c r="L784" s="35"/>
      <c r="M784" s="35"/>
    </row>
    <row r="785" spans="1:14" x14ac:dyDescent="0.45">
      <c r="A785" s="67">
        <v>2</v>
      </c>
      <c r="B785" s="823" t="s">
        <v>922</v>
      </c>
      <c r="C785" s="820" t="s">
        <v>798</v>
      </c>
      <c r="D785" s="28" t="str">
        <f t="shared" si="348"/>
        <v>Lulusan</v>
      </c>
      <c r="E785" s="256">
        <f t="shared" si="349"/>
        <v>1</v>
      </c>
      <c r="F785" s="256">
        <f t="shared" ref="F785:F793" si="350">IF(I785&lt;&gt;"",J785,"")</f>
        <v>1</v>
      </c>
      <c r="G785" s="159" t="str">
        <f t="shared" ref="G785:G793" si="351">IF(J785&lt;&gt;"rumus","1 x "&amp;J785&amp;" = "&amp;J785,"rumus")</f>
        <v>1 x 1 = 1</v>
      </c>
      <c r="H785" s="820" t="s">
        <v>1039</v>
      </c>
      <c r="I785" s="38" t="s">
        <v>675</v>
      </c>
      <c r="J785" s="37">
        <f t="shared" ref="J785" si="352">IF(I785&lt;&gt;"",IF(I785="Ketua Penguji",1,IF(I785="Anggota Penguji",0.5,"")),"rumus")</f>
        <v>1</v>
      </c>
      <c r="K785" s="35"/>
      <c r="L785" s="35"/>
      <c r="M785" s="35"/>
    </row>
    <row r="786" spans="1:14" x14ac:dyDescent="0.45">
      <c r="A786" s="67">
        <v>3</v>
      </c>
      <c r="B786" s="823" t="s">
        <v>923</v>
      </c>
      <c r="C786" s="820" t="s">
        <v>798</v>
      </c>
      <c r="D786" s="28" t="str">
        <f t="shared" si="348"/>
        <v>Lulusan</v>
      </c>
      <c r="E786" s="256">
        <f t="shared" si="349"/>
        <v>1</v>
      </c>
      <c r="F786" s="256">
        <f t="shared" si="350"/>
        <v>0.5</v>
      </c>
      <c r="G786" s="159" t="str">
        <f t="shared" si="351"/>
        <v>1 x 0,5 = 0,5</v>
      </c>
      <c r="H786" s="820" t="s">
        <v>1039</v>
      </c>
      <c r="I786" s="38" t="s">
        <v>676</v>
      </c>
      <c r="J786" s="37">
        <f>IF(I786&lt;&gt;"",IF(I786="Ketua Penguji",1,IF(I786="Anggota Penguji",0.5,"")),"rumus")</f>
        <v>0.5</v>
      </c>
      <c r="K786" s="35"/>
      <c r="L786" s="35"/>
      <c r="M786" s="35"/>
    </row>
    <row r="787" spans="1:14" x14ac:dyDescent="0.45">
      <c r="A787" s="67">
        <v>4</v>
      </c>
      <c r="B787" s="823" t="s">
        <v>924</v>
      </c>
      <c r="C787" s="820" t="s">
        <v>798</v>
      </c>
      <c r="D787" s="28" t="str">
        <f t="shared" si="348"/>
        <v>Lulusan</v>
      </c>
      <c r="E787" s="256">
        <f t="shared" si="349"/>
        <v>1</v>
      </c>
      <c r="F787" s="256">
        <f t="shared" si="350"/>
        <v>1</v>
      </c>
      <c r="G787" s="159" t="str">
        <f t="shared" si="351"/>
        <v>1 x 1 = 1</v>
      </c>
      <c r="H787" s="820" t="s">
        <v>1040</v>
      </c>
      <c r="I787" s="38" t="s">
        <v>675</v>
      </c>
      <c r="J787" s="37">
        <f t="shared" ref="J787:J793" si="353">IF(I787&lt;&gt;"",IF(I787="Ketua Penguji",1,IF(I787="Anggota Penguji",0.5,"")),"rumus")</f>
        <v>1</v>
      </c>
      <c r="K787" s="35"/>
      <c r="L787" s="35"/>
      <c r="M787" s="35"/>
    </row>
    <row r="788" spans="1:14" x14ac:dyDescent="0.45">
      <c r="A788" s="67">
        <v>5</v>
      </c>
      <c r="B788" s="823" t="s">
        <v>925</v>
      </c>
      <c r="C788" s="820" t="s">
        <v>798</v>
      </c>
      <c r="D788" s="28" t="str">
        <f t="shared" si="348"/>
        <v>Lulusan</v>
      </c>
      <c r="E788" s="256">
        <f t="shared" si="349"/>
        <v>1</v>
      </c>
      <c r="F788" s="256">
        <f t="shared" si="350"/>
        <v>1</v>
      </c>
      <c r="G788" s="159" t="str">
        <f t="shared" si="351"/>
        <v>1 x 1 = 1</v>
      </c>
      <c r="H788" s="820" t="s">
        <v>1041</v>
      </c>
      <c r="I788" s="38" t="s">
        <v>675</v>
      </c>
      <c r="J788" s="37">
        <f t="shared" si="353"/>
        <v>1</v>
      </c>
      <c r="K788" s="35"/>
      <c r="L788" s="35"/>
      <c r="M788" s="35"/>
    </row>
    <row r="789" spans="1:14" hidden="1" x14ac:dyDescent="0.45">
      <c r="A789" s="67">
        <v>6</v>
      </c>
      <c r="B789" s="186" t="s">
        <v>97</v>
      </c>
      <c r="C789" s="28" t="s">
        <v>252</v>
      </c>
      <c r="D789" s="28" t="str">
        <f t="shared" si="348"/>
        <v/>
      </c>
      <c r="E789" s="256" t="str">
        <f t="shared" si="349"/>
        <v/>
      </c>
      <c r="F789" s="256" t="str">
        <f t="shared" si="350"/>
        <v/>
      </c>
      <c r="G789" s="159" t="str">
        <f t="shared" si="351"/>
        <v>rumus</v>
      </c>
      <c r="H789" s="39" t="s">
        <v>66</v>
      </c>
      <c r="I789" s="38"/>
      <c r="J789" s="37" t="str">
        <f t="shared" si="353"/>
        <v>rumus</v>
      </c>
      <c r="K789" s="35"/>
      <c r="L789" s="35"/>
      <c r="M789" s="35"/>
    </row>
    <row r="790" spans="1:14" hidden="1" x14ac:dyDescent="0.45">
      <c r="A790" s="67">
        <v>7</v>
      </c>
      <c r="B790" s="186" t="s">
        <v>97</v>
      </c>
      <c r="C790" s="28" t="s">
        <v>252</v>
      </c>
      <c r="D790" s="28" t="str">
        <f t="shared" si="348"/>
        <v/>
      </c>
      <c r="E790" s="256" t="str">
        <f t="shared" si="349"/>
        <v/>
      </c>
      <c r="F790" s="256" t="str">
        <f t="shared" si="350"/>
        <v/>
      </c>
      <c r="G790" s="159" t="str">
        <f t="shared" si="351"/>
        <v>rumus</v>
      </c>
      <c r="H790" s="39" t="s">
        <v>66</v>
      </c>
      <c r="I790" s="38"/>
      <c r="J790" s="37" t="str">
        <f t="shared" si="353"/>
        <v>rumus</v>
      </c>
      <c r="K790" s="35"/>
      <c r="L790" s="35"/>
      <c r="M790" s="35"/>
    </row>
    <row r="791" spans="1:14" hidden="1" x14ac:dyDescent="0.45">
      <c r="A791" s="67">
        <v>8</v>
      </c>
      <c r="B791" s="186" t="s">
        <v>97</v>
      </c>
      <c r="C791" s="28" t="s">
        <v>252</v>
      </c>
      <c r="D791" s="28" t="str">
        <f t="shared" si="348"/>
        <v/>
      </c>
      <c r="E791" s="256" t="str">
        <f t="shared" si="349"/>
        <v/>
      </c>
      <c r="F791" s="256" t="str">
        <f t="shared" si="350"/>
        <v/>
      </c>
      <c r="G791" s="159" t="str">
        <f t="shared" si="351"/>
        <v>rumus</v>
      </c>
      <c r="H791" s="39" t="s">
        <v>66</v>
      </c>
      <c r="I791" s="38"/>
      <c r="J791" s="37" t="str">
        <f t="shared" si="353"/>
        <v>rumus</v>
      </c>
      <c r="K791" s="35"/>
      <c r="L791" s="35"/>
      <c r="M791" s="35"/>
    </row>
    <row r="792" spans="1:14" hidden="1" x14ac:dyDescent="0.45">
      <c r="A792" s="67">
        <v>9</v>
      </c>
      <c r="B792" s="186" t="s">
        <v>97</v>
      </c>
      <c r="C792" s="28" t="s">
        <v>252</v>
      </c>
      <c r="D792" s="28" t="str">
        <f t="shared" si="348"/>
        <v/>
      </c>
      <c r="E792" s="256" t="str">
        <f t="shared" si="349"/>
        <v/>
      </c>
      <c r="F792" s="256" t="str">
        <f t="shared" si="350"/>
        <v/>
      </c>
      <c r="G792" s="159" t="str">
        <f t="shared" si="351"/>
        <v>rumus</v>
      </c>
      <c r="H792" s="39" t="s">
        <v>66</v>
      </c>
      <c r="I792" s="38"/>
      <c r="J792" s="37" t="str">
        <f t="shared" si="353"/>
        <v>rumus</v>
      </c>
      <c r="K792" s="35"/>
      <c r="L792" s="35"/>
      <c r="M792" s="35"/>
    </row>
    <row r="793" spans="1:14" hidden="1" x14ac:dyDescent="0.45">
      <c r="A793" s="67">
        <v>10</v>
      </c>
      <c r="B793" s="186" t="s">
        <v>97</v>
      </c>
      <c r="C793" s="28" t="s">
        <v>252</v>
      </c>
      <c r="D793" s="28" t="str">
        <f t="shared" si="348"/>
        <v/>
      </c>
      <c r="E793" s="256" t="str">
        <f t="shared" si="349"/>
        <v/>
      </c>
      <c r="F793" s="256" t="str">
        <f t="shared" si="350"/>
        <v/>
      </c>
      <c r="G793" s="159" t="str">
        <f t="shared" si="351"/>
        <v>rumus</v>
      </c>
      <c r="H793" s="39" t="s">
        <v>66</v>
      </c>
      <c r="I793" s="38"/>
      <c r="J793" s="37" t="str">
        <f t="shared" si="353"/>
        <v>rumus</v>
      </c>
      <c r="K793" s="35"/>
      <c r="L793" s="35"/>
      <c r="M793" s="35"/>
    </row>
    <row r="794" spans="1:14" ht="15" customHeight="1" x14ac:dyDescent="0.45">
      <c r="A794" s="70"/>
      <c r="B794" s="968" t="s">
        <v>67</v>
      </c>
      <c r="C794" s="969"/>
      <c r="D794" s="970"/>
      <c r="E794" s="248"/>
      <c r="F794" s="252"/>
      <c r="G794" s="61">
        <f>SUM(K531:K794)</f>
        <v>9.5</v>
      </c>
      <c r="H794" s="49"/>
      <c r="I794" s="35"/>
      <c r="J794" s="106"/>
      <c r="K794" s="106">
        <f>IF(COUNTIF(I784:I793,"Ketua Penguji")&lt;=4,SUMIF(I784:I793,"Ketua Penguji",J784:J793),4*1)+IF(COUNTIF(I784:I793,"Anggota Penguji")&lt;=8,SUMIF(I784:I793,"Anggota Penguji",J784:J793),8*0.5)</f>
        <v>4.5</v>
      </c>
      <c r="L794" t="s">
        <v>282</v>
      </c>
      <c r="M794">
        <f>IF(COUNTIF(I784:I793,"Ketua Penguji")&lt;=4,SUMIF(I784:I793,"Ketua Penguji",J784:J793),4*1)</f>
        <v>4</v>
      </c>
      <c r="N794">
        <f>IF(COUNTIF(I784:I793,"Anggota Penguji")&lt;=8,SUMIF(I784:I793,"Anggota Penguji",J784:J793),8*0.5)</f>
        <v>0.5</v>
      </c>
    </row>
    <row r="795" spans="1:14" ht="15" customHeight="1" x14ac:dyDescent="0.45">
      <c r="A795" s="85" t="s">
        <v>121</v>
      </c>
      <c r="B795" s="21" t="s">
        <v>128</v>
      </c>
      <c r="C795" s="57"/>
      <c r="D795" s="57"/>
      <c r="E795" s="57"/>
      <c r="F795" s="57"/>
      <c r="G795" s="57"/>
      <c r="H795" s="58"/>
      <c r="I795" s="35"/>
      <c r="J795" s="35"/>
      <c r="K795" s="35"/>
      <c r="L795" s="35"/>
      <c r="M795" s="35">
        <f>SUM(M541:M794)</f>
        <v>8</v>
      </c>
      <c r="N795" s="35">
        <f>SUM(N541:N794)</f>
        <v>1.5</v>
      </c>
    </row>
    <row r="796" spans="1:14" ht="15" hidden="1" customHeight="1" x14ac:dyDescent="0.45">
      <c r="A796" s="67"/>
      <c r="B796" s="168" t="str">
        <f>"a. Semester Gasal "&amp;IF(C797&lt;&gt;"",C797,"")&amp;" :"</f>
        <v>a. Semester Gasal 2004/2005 :</v>
      </c>
      <c r="C796" s="57"/>
      <c r="D796" s="57"/>
      <c r="E796" s="57"/>
      <c r="F796" s="57"/>
      <c r="G796" s="57"/>
      <c r="H796" s="58"/>
      <c r="I796" s="35"/>
      <c r="J796" s="35"/>
      <c r="K796" s="35"/>
      <c r="L796" s="35"/>
      <c r="M796" s="35"/>
    </row>
    <row r="797" spans="1:14" hidden="1" x14ac:dyDescent="0.45">
      <c r="A797" s="67">
        <v>1</v>
      </c>
      <c r="B797" s="163" t="s">
        <v>128</v>
      </c>
      <c r="C797" s="28" t="s">
        <v>141</v>
      </c>
      <c r="D797" s="28" t="str">
        <f>IF(G797&lt;&gt;"rumus","Semester","")</f>
        <v/>
      </c>
      <c r="E797" s="256" t="str">
        <f t="shared" ref="E797:E798" si="354">IF(I797&lt;&gt;"",1,"")</f>
        <v/>
      </c>
      <c r="F797" s="256" t="str">
        <f t="shared" ref="F797:F798" si="355">IF(I797&lt;&gt;"",J797,"")</f>
        <v/>
      </c>
      <c r="G797" s="159" t="str">
        <f t="shared" ref="G797:G798" si="356">IF(J797&lt;&gt;"rumus","1 x "&amp;J797&amp;" = "&amp;J797,"rumus")</f>
        <v>rumus</v>
      </c>
      <c r="H797" s="28" t="s">
        <v>109</v>
      </c>
      <c r="I797" s="131"/>
      <c r="J797" s="37" t="str">
        <f>IF(I797="Membina kegiatan mahasiswa per semester",2,"rumus")</f>
        <v>rumus</v>
      </c>
      <c r="K797" s="35"/>
      <c r="L797" s="35"/>
      <c r="M797" s="35"/>
    </row>
    <row r="798" spans="1:14" hidden="1" x14ac:dyDescent="0.45">
      <c r="A798" s="67">
        <v>2</v>
      </c>
      <c r="B798" s="199" t="s">
        <v>128</v>
      </c>
      <c r="C798" s="28" t="s">
        <v>141</v>
      </c>
      <c r="D798" s="28" t="str">
        <f>IF(G798&lt;&gt;"rumus","Semester","")</f>
        <v/>
      </c>
      <c r="E798" s="256" t="str">
        <f t="shared" si="354"/>
        <v/>
      </c>
      <c r="F798" s="256" t="str">
        <f t="shared" si="355"/>
        <v/>
      </c>
      <c r="G798" s="159" t="str">
        <f t="shared" si="356"/>
        <v>rumus</v>
      </c>
      <c r="H798" s="39" t="s">
        <v>66</v>
      </c>
      <c r="I798" s="131"/>
      <c r="J798" s="37" t="str">
        <f>IF(I798="Membina kegiatan mahasiswa per semester",2,"rumus")</f>
        <v>rumus</v>
      </c>
      <c r="K798" s="35"/>
      <c r="L798" s="35"/>
      <c r="M798" s="35"/>
    </row>
    <row r="799" spans="1:14" ht="15" hidden="1" customHeight="1" x14ac:dyDescent="0.45">
      <c r="A799" s="67"/>
      <c r="B799" s="168" t="str">
        <f>"a. Semester Gasal "&amp;IF(C800&lt;&gt;"",C800,"")&amp;" :"</f>
        <v>a. Semester Gasal 2005/2006 :</v>
      </c>
      <c r="C799" s="57"/>
      <c r="D799" s="57"/>
      <c r="E799" s="57"/>
      <c r="F799" s="57"/>
      <c r="G799" s="57"/>
      <c r="H799" s="188"/>
      <c r="I799" s="35"/>
      <c r="J799" s="35"/>
      <c r="K799" s="35">
        <f>IF(SUM(J797:J798)&gt;=4,4,SUM(J797:J798))</f>
        <v>0</v>
      </c>
      <c r="L799" s="261" t="s">
        <v>281</v>
      </c>
      <c r="M799" s="35"/>
    </row>
    <row r="800" spans="1:14" hidden="1" x14ac:dyDescent="0.45">
      <c r="A800" s="67">
        <v>1</v>
      </c>
      <c r="B800" s="186" t="s">
        <v>128</v>
      </c>
      <c r="C800" s="28" t="s">
        <v>142</v>
      </c>
      <c r="D800" s="28" t="str">
        <f>IF(G800&lt;&gt;"rumus","Semester","")</f>
        <v/>
      </c>
      <c r="E800" s="256" t="str">
        <f t="shared" ref="E800:E801" si="357">IF(I800&lt;&gt;"",1,"")</f>
        <v/>
      </c>
      <c r="F800" s="256" t="str">
        <f t="shared" ref="F800:F801" si="358">IF(I800&lt;&gt;"",J800,"")</f>
        <v/>
      </c>
      <c r="G800" s="159" t="str">
        <f t="shared" ref="G800:G801" si="359">IF(J800&lt;&gt;"rumus","1 x "&amp;J800&amp;" = "&amp;J800,"rumus")</f>
        <v>rumus</v>
      </c>
      <c r="H800" s="28" t="s">
        <v>109</v>
      </c>
      <c r="I800" s="131"/>
      <c r="J800" s="37" t="str">
        <f>IF(I800="Membina kegiatan mahasiswa per semester",2,"rumus")</f>
        <v>rumus</v>
      </c>
      <c r="K800" s="35"/>
      <c r="L800" s="35"/>
      <c r="M800" s="35"/>
    </row>
    <row r="801" spans="1:13" hidden="1" x14ac:dyDescent="0.45">
      <c r="A801" s="67">
        <v>2</v>
      </c>
      <c r="B801" s="199" t="s">
        <v>128</v>
      </c>
      <c r="C801" s="28" t="s">
        <v>142</v>
      </c>
      <c r="D801" s="28" t="str">
        <f>IF(G801&lt;&gt;"rumus","Semester","")</f>
        <v/>
      </c>
      <c r="E801" s="256" t="str">
        <f t="shared" si="357"/>
        <v/>
      </c>
      <c r="F801" s="256" t="str">
        <f t="shared" si="358"/>
        <v/>
      </c>
      <c r="G801" s="159" t="str">
        <f t="shared" si="359"/>
        <v>rumus</v>
      </c>
      <c r="H801" s="39" t="s">
        <v>66</v>
      </c>
      <c r="I801" s="131"/>
      <c r="J801" s="37" t="str">
        <f>IF(I801="Membina kegiatan mahasiswa per semester",2,"rumus")</f>
        <v>rumus</v>
      </c>
      <c r="K801" s="35"/>
      <c r="L801" s="35"/>
      <c r="M801" s="35"/>
    </row>
    <row r="802" spans="1:13" ht="15" hidden="1" customHeight="1" x14ac:dyDescent="0.45">
      <c r="A802" s="67"/>
      <c r="B802" s="168" t="str">
        <f>"a. Semester Gasal "&amp;IF(C803&lt;&gt;"",C803,"")&amp;" :"</f>
        <v>a. Semester Gasal 2006/2007 :</v>
      </c>
      <c r="C802" s="57"/>
      <c r="D802" s="57"/>
      <c r="E802" s="57"/>
      <c r="F802" s="57"/>
      <c r="G802" s="57"/>
      <c r="H802" s="188"/>
      <c r="I802" s="35"/>
      <c r="J802" s="35"/>
      <c r="K802" s="35">
        <f>IF(SUM(J800:J801)&gt;=4,4,SUM(J800:J801))</f>
        <v>0</v>
      </c>
      <c r="L802" s="261" t="s">
        <v>281</v>
      </c>
      <c r="M802" s="35"/>
    </row>
    <row r="803" spans="1:13" s="140" customFormat="1" hidden="1" x14ac:dyDescent="0.45">
      <c r="A803" s="67">
        <v>1</v>
      </c>
      <c r="B803" s="186" t="s">
        <v>128</v>
      </c>
      <c r="C803" s="172" t="s">
        <v>143</v>
      </c>
      <c r="D803" s="28" t="str">
        <f>IF(G803&lt;&gt;"rumus","Semester","")</f>
        <v/>
      </c>
      <c r="E803" s="256" t="str">
        <f t="shared" ref="E803:E804" si="360">IF(I803&lt;&gt;"",1,"")</f>
        <v/>
      </c>
      <c r="F803" s="256" t="str">
        <f t="shared" ref="F803:F804" si="361">IF(I803&lt;&gt;"",J803,"")</f>
        <v/>
      </c>
      <c r="G803" s="159" t="str">
        <f t="shared" ref="G803:G804" si="362">IF(J803&lt;&gt;"rumus","1 x "&amp;J803&amp;" = "&amp;J803,"rumus")</f>
        <v>rumus</v>
      </c>
      <c r="H803" s="28" t="s">
        <v>109</v>
      </c>
      <c r="I803" s="131"/>
      <c r="J803" s="37" t="str">
        <f>IF(I803="Membina kegiatan mahasiswa per semester",2,"rumus")</f>
        <v>rumus</v>
      </c>
      <c r="K803" s="175"/>
      <c r="L803" s="175"/>
      <c r="M803" s="175"/>
    </row>
    <row r="804" spans="1:13" s="140" customFormat="1" hidden="1" x14ac:dyDescent="0.45">
      <c r="A804" s="67">
        <v>2</v>
      </c>
      <c r="B804" s="199" t="s">
        <v>128</v>
      </c>
      <c r="C804" s="172" t="s">
        <v>143</v>
      </c>
      <c r="D804" s="28" t="str">
        <f>IF(G804&lt;&gt;"rumus","Semester","")</f>
        <v/>
      </c>
      <c r="E804" s="256" t="str">
        <f t="shared" si="360"/>
        <v/>
      </c>
      <c r="F804" s="256" t="str">
        <f t="shared" si="361"/>
        <v/>
      </c>
      <c r="G804" s="159" t="str">
        <f t="shared" si="362"/>
        <v>rumus</v>
      </c>
      <c r="H804" s="39" t="s">
        <v>66</v>
      </c>
      <c r="I804" s="131"/>
      <c r="J804" s="37" t="str">
        <f>IF(I804="Membina kegiatan mahasiswa per semester",2,"rumus")</f>
        <v>rumus</v>
      </c>
      <c r="K804" s="175"/>
      <c r="L804" s="175"/>
      <c r="M804" s="175"/>
    </row>
    <row r="805" spans="1:13" ht="15" hidden="1" customHeight="1" x14ac:dyDescent="0.45">
      <c r="A805" s="67"/>
      <c r="B805" s="168" t="str">
        <f>"a. Semester Gasal "&amp;IF(C806&lt;&gt;"",C806,"")&amp;" :"</f>
        <v>a. Semester Gasal 2007/2008 :</v>
      </c>
      <c r="C805" s="57"/>
      <c r="D805" s="57"/>
      <c r="E805" s="57"/>
      <c r="F805" s="57"/>
      <c r="G805" s="57"/>
      <c r="H805" s="188"/>
      <c r="I805" s="35"/>
      <c r="J805" s="35"/>
      <c r="K805" s="35">
        <f>IF(SUM(J803:J804)&gt;=4,4,SUM(J803:J804))</f>
        <v>0</v>
      </c>
      <c r="L805" s="261" t="s">
        <v>281</v>
      </c>
      <c r="M805" s="35"/>
    </row>
    <row r="806" spans="1:13" hidden="1" x14ac:dyDescent="0.45">
      <c r="A806" s="67">
        <v>1</v>
      </c>
      <c r="B806" s="186" t="s">
        <v>128</v>
      </c>
      <c r="C806" s="28" t="s">
        <v>144</v>
      </c>
      <c r="D806" s="28" t="str">
        <f>IF(G806&lt;&gt;"rumus","Semester","")</f>
        <v/>
      </c>
      <c r="E806" s="256" t="str">
        <f t="shared" ref="E806:E807" si="363">IF(I806&lt;&gt;"",1,"")</f>
        <v/>
      </c>
      <c r="F806" s="256" t="str">
        <f t="shared" ref="F806:F807" si="364">IF(I806&lt;&gt;"",J806,"")</f>
        <v/>
      </c>
      <c r="G806" s="159" t="str">
        <f t="shared" ref="G806:G807" si="365">IF(J806&lt;&gt;"rumus","1 x "&amp;J806&amp;" = "&amp;J806,"rumus")</f>
        <v>rumus</v>
      </c>
      <c r="H806" s="28" t="s">
        <v>109</v>
      </c>
      <c r="I806" s="131"/>
      <c r="J806" s="37" t="str">
        <f>IF(I806="Membina kegiatan mahasiswa per semester",2,"rumus")</f>
        <v>rumus</v>
      </c>
      <c r="K806" s="35"/>
      <c r="L806" s="35"/>
      <c r="M806" s="35"/>
    </row>
    <row r="807" spans="1:13" hidden="1" x14ac:dyDescent="0.45">
      <c r="A807" s="67">
        <v>2</v>
      </c>
      <c r="B807" s="199" t="s">
        <v>128</v>
      </c>
      <c r="C807" s="28" t="s">
        <v>144</v>
      </c>
      <c r="D807" s="28" t="str">
        <f>IF(G807&lt;&gt;"rumus","Semester","")</f>
        <v/>
      </c>
      <c r="E807" s="256" t="str">
        <f t="shared" si="363"/>
        <v/>
      </c>
      <c r="F807" s="256" t="str">
        <f t="shared" si="364"/>
        <v/>
      </c>
      <c r="G807" s="159" t="str">
        <f t="shared" si="365"/>
        <v>rumus</v>
      </c>
      <c r="H807" s="39" t="s">
        <v>66</v>
      </c>
      <c r="I807" s="131"/>
      <c r="J807" s="37" t="str">
        <f>IF(I807="Membina kegiatan mahasiswa per semester",2,"rumus")</f>
        <v>rumus</v>
      </c>
      <c r="K807" s="35"/>
      <c r="L807" s="35"/>
      <c r="M807" s="35"/>
    </row>
    <row r="808" spans="1:13" ht="15" hidden="1" customHeight="1" x14ac:dyDescent="0.45">
      <c r="A808" s="67"/>
      <c r="B808" s="168" t="str">
        <f>"a. Semester Gasal "&amp;IF(C809&lt;&gt;"",C809,"")&amp;" :"</f>
        <v>a. Semester Gasal 2008/2009 :</v>
      </c>
      <c r="C808" s="57"/>
      <c r="D808" s="57"/>
      <c r="E808" s="57"/>
      <c r="F808" s="57"/>
      <c r="G808" s="57"/>
      <c r="H808" s="188"/>
      <c r="I808" s="35"/>
      <c r="J808" s="35"/>
      <c r="K808" s="35">
        <f>IF(SUM(J806:J807)&gt;=4,4,SUM(J806:J807))</f>
        <v>0</v>
      </c>
      <c r="L808" s="261" t="s">
        <v>281</v>
      </c>
      <c r="M808" s="35"/>
    </row>
    <row r="809" spans="1:13" s="140" customFormat="1" hidden="1" x14ac:dyDescent="0.45">
      <c r="A809" s="67">
        <v>1</v>
      </c>
      <c r="B809" s="186" t="s">
        <v>128</v>
      </c>
      <c r="C809" s="172" t="s">
        <v>145</v>
      </c>
      <c r="D809" s="28" t="str">
        <f>IF(G809&lt;&gt;"rumus","Semester","")</f>
        <v/>
      </c>
      <c r="E809" s="256" t="str">
        <f t="shared" ref="E809" si="366">IF(I809&lt;&gt;"",1,"")</f>
        <v/>
      </c>
      <c r="F809" s="256" t="str">
        <f t="shared" ref="F809" si="367">IF(I809&lt;&gt;"",J809,"")</f>
        <v/>
      </c>
      <c r="G809" s="159" t="str">
        <f t="shared" ref="G809" si="368">IF(J809&lt;&gt;"rumus","1 x "&amp;J809&amp;" = "&amp;J809,"rumus")</f>
        <v>rumus</v>
      </c>
      <c r="H809" s="28" t="s">
        <v>109</v>
      </c>
      <c r="I809" s="131"/>
      <c r="J809" s="37" t="str">
        <f>IF(I809="Membina kegiatan mahasiswa per semester",2,"rumus")</f>
        <v>rumus</v>
      </c>
      <c r="K809" s="175"/>
      <c r="L809" s="175"/>
      <c r="M809" s="175"/>
    </row>
    <row r="810" spans="1:13" s="140" customFormat="1" hidden="1" x14ac:dyDescent="0.45">
      <c r="A810" s="67">
        <v>2</v>
      </c>
      <c r="B810" s="199" t="s">
        <v>128</v>
      </c>
      <c r="C810" s="172" t="s">
        <v>145</v>
      </c>
      <c r="D810" s="28" t="str">
        <f>IF(G810&lt;&gt;"rumus","Semester","")</f>
        <v/>
      </c>
      <c r="E810" s="256" t="str">
        <f t="shared" ref="E810" si="369">IF(I810&lt;&gt;"",1,"")</f>
        <v/>
      </c>
      <c r="F810" s="256" t="str">
        <f t="shared" ref="F810" si="370">IF(I810&lt;&gt;"",J810,"")</f>
        <v/>
      </c>
      <c r="G810" s="159" t="str">
        <f t="shared" ref="G810" si="371">IF(J810&lt;&gt;"rumus","1 x "&amp;J810&amp;" = "&amp;J810,"rumus")</f>
        <v>rumus</v>
      </c>
      <c r="H810" s="39" t="s">
        <v>66</v>
      </c>
      <c r="I810" s="131"/>
      <c r="J810" s="37" t="str">
        <f>IF(I810="Membina kegiatan mahasiswa per semester",2,"rumus")</f>
        <v>rumus</v>
      </c>
      <c r="K810" s="175"/>
      <c r="L810" s="175"/>
      <c r="M810" s="175"/>
    </row>
    <row r="811" spans="1:13" ht="15" hidden="1" customHeight="1" x14ac:dyDescent="0.45">
      <c r="A811" s="67"/>
      <c r="B811" s="168" t="str">
        <f>"a. Semester Gasal "&amp;IF(C812&lt;&gt;"",C812,"")&amp;" :"</f>
        <v>a. Semester Gasal 2009/2010 :</v>
      </c>
      <c r="C811" s="57"/>
      <c r="D811" s="57"/>
      <c r="E811" s="57"/>
      <c r="F811" s="57"/>
      <c r="G811" s="57"/>
      <c r="H811" s="188"/>
      <c r="I811" s="35"/>
      <c r="J811" s="35"/>
      <c r="K811" s="35">
        <f>IF(SUM(J809:J810)&gt;=4,4,SUM(J809:J810))</f>
        <v>0</v>
      </c>
      <c r="L811" s="261" t="s">
        <v>281</v>
      </c>
      <c r="M811" s="35"/>
    </row>
    <row r="812" spans="1:13" s="140" customFormat="1" hidden="1" x14ac:dyDescent="0.45">
      <c r="A812" s="67">
        <v>1</v>
      </c>
      <c r="B812" s="186" t="s">
        <v>128</v>
      </c>
      <c r="C812" s="172" t="s">
        <v>146</v>
      </c>
      <c r="D812" s="28" t="str">
        <f>IF(G812&lt;&gt;"rumus","Semester","")</f>
        <v/>
      </c>
      <c r="E812" s="256" t="str">
        <f t="shared" ref="E812" si="372">IF(I812&lt;&gt;"",1,"")</f>
        <v/>
      </c>
      <c r="F812" s="256" t="str">
        <f t="shared" ref="F812" si="373">IF(I812&lt;&gt;"",J812,"")</f>
        <v/>
      </c>
      <c r="G812" s="159" t="str">
        <f t="shared" ref="G812" si="374">IF(J812&lt;&gt;"rumus","1 x "&amp;J812&amp;" = "&amp;J812,"rumus")</f>
        <v>rumus</v>
      </c>
      <c r="H812" s="28" t="s">
        <v>109</v>
      </c>
      <c r="I812" s="131"/>
      <c r="J812" s="37" t="str">
        <f>IF(I812="Membina kegiatan mahasiswa per semester",2,"rumus")</f>
        <v>rumus</v>
      </c>
      <c r="K812" s="175"/>
      <c r="L812" s="175"/>
      <c r="M812" s="175"/>
    </row>
    <row r="813" spans="1:13" s="140" customFormat="1" hidden="1" x14ac:dyDescent="0.45">
      <c r="A813" s="67">
        <v>2</v>
      </c>
      <c r="B813" s="199" t="s">
        <v>128</v>
      </c>
      <c r="C813" s="172" t="s">
        <v>146</v>
      </c>
      <c r="D813" s="28" t="str">
        <f>IF(G813&lt;&gt;"rumus","Semester","")</f>
        <v/>
      </c>
      <c r="E813" s="256" t="str">
        <f t="shared" ref="E813" si="375">IF(I813&lt;&gt;"",1,"")</f>
        <v/>
      </c>
      <c r="F813" s="256" t="str">
        <f t="shared" ref="F813" si="376">IF(I813&lt;&gt;"",J813,"")</f>
        <v/>
      </c>
      <c r="G813" s="159" t="str">
        <f t="shared" ref="G813" si="377">IF(J813&lt;&gt;"rumus","1 x "&amp;J813&amp;" = "&amp;J813,"rumus")</f>
        <v>rumus</v>
      </c>
      <c r="H813" s="39" t="s">
        <v>66</v>
      </c>
      <c r="I813" s="131"/>
      <c r="J813" s="37" t="str">
        <f>IF(I813="Membina kegiatan mahasiswa per semester",2,"rumus")</f>
        <v>rumus</v>
      </c>
      <c r="K813" s="175"/>
      <c r="L813" s="175"/>
      <c r="M813" s="175"/>
    </row>
    <row r="814" spans="1:13" ht="15" hidden="1" customHeight="1" x14ac:dyDescent="0.45">
      <c r="A814" s="67"/>
      <c r="B814" s="168" t="str">
        <f>"a. Semester Gasal "&amp;IF(C815&lt;&gt;"",C815,"")&amp;" :"</f>
        <v>a. Semester Gasal 2010/2011 :</v>
      </c>
      <c r="C814" s="57"/>
      <c r="D814" s="57"/>
      <c r="E814" s="57"/>
      <c r="F814" s="57"/>
      <c r="G814" s="57"/>
      <c r="H814" s="188"/>
      <c r="I814" s="35"/>
      <c r="J814" s="35"/>
      <c r="K814" s="35">
        <f>IF(SUM(J812:J813)&gt;=4,4,SUM(J812:J813))</f>
        <v>0</v>
      </c>
      <c r="L814" s="261" t="s">
        <v>281</v>
      </c>
      <c r="M814" s="35"/>
    </row>
    <row r="815" spans="1:13" hidden="1" x14ac:dyDescent="0.45">
      <c r="A815" s="67">
        <v>1</v>
      </c>
      <c r="B815" s="186" t="s">
        <v>128</v>
      </c>
      <c r="C815" s="28" t="s">
        <v>108</v>
      </c>
      <c r="D815" s="28" t="str">
        <f>IF(G815&lt;&gt;"rumus","Semester","")</f>
        <v/>
      </c>
      <c r="E815" s="256" t="str">
        <f t="shared" ref="E815" si="378">IF(I815&lt;&gt;"",1,"")</f>
        <v/>
      </c>
      <c r="F815" s="256" t="str">
        <f t="shared" ref="F815" si="379">IF(I815&lt;&gt;"",J815,"")</f>
        <v/>
      </c>
      <c r="G815" s="159" t="str">
        <f t="shared" ref="G815" si="380">IF(J815&lt;&gt;"rumus","1 x "&amp;J815&amp;" = "&amp;J815,"rumus")</f>
        <v>rumus</v>
      </c>
      <c r="H815" s="28" t="s">
        <v>109</v>
      </c>
      <c r="I815" s="131"/>
      <c r="J815" s="37" t="str">
        <f>IF(I815="Membina kegiatan mahasiswa per semester",2,"rumus")</f>
        <v>rumus</v>
      </c>
      <c r="K815" s="35"/>
      <c r="L815" s="35"/>
      <c r="M815" s="35"/>
    </row>
    <row r="816" spans="1:13" hidden="1" x14ac:dyDescent="0.45">
      <c r="A816" s="67">
        <v>2</v>
      </c>
      <c r="B816" s="199" t="s">
        <v>128</v>
      </c>
      <c r="C816" s="28" t="s">
        <v>108</v>
      </c>
      <c r="D816" s="28" t="str">
        <f>IF(G816&lt;&gt;"rumus","Semester","")</f>
        <v/>
      </c>
      <c r="E816" s="256" t="str">
        <f t="shared" ref="E816" si="381">IF(I816&lt;&gt;"",1,"")</f>
        <v/>
      </c>
      <c r="F816" s="256" t="str">
        <f t="shared" ref="F816" si="382">IF(I816&lt;&gt;"",J816,"")</f>
        <v/>
      </c>
      <c r="G816" s="159" t="str">
        <f t="shared" ref="G816" si="383">IF(J816&lt;&gt;"rumus","1 x "&amp;J816&amp;" = "&amp;J816,"rumus")</f>
        <v>rumus</v>
      </c>
      <c r="H816" s="39" t="s">
        <v>66</v>
      </c>
      <c r="I816" s="131"/>
      <c r="J816" s="37" t="str">
        <f>IF(I816="Membina kegiatan mahasiswa per semester",2,"rumus")</f>
        <v>rumus</v>
      </c>
      <c r="K816" s="35"/>
      <c r="L816" s="35"/>
      <c r="M816" s="35"/>
    </row>
    <row r="817" spans="1:13" ht="15" hidden="1" customHeight="1" x14ac:dyDescent="0.45">
      <c r="A817" s="67"/>
      <c r="B817" s="168" t="str">
        <f>"a. Semester Gasal "&amp;IF(C818&lt;&gt;"",C818,"")&amp;" :"</f>
        <v>a. Semester Gasal 2011/2012 :</v>
      </c>
      <c r="C817" s="57"/>
      <c r="D817" s="57"/>
      <c r="E817" s="57"/>
      <c r="F817" s="57"/>
      <c r="G817" s="57"/>
      <c r="H817" s="188"/>
      <c r="I817" s="35"/>
      <c r="J817" s="35"/>
      <c r="K817" s="35">
        <f>IF(SUM(J815:J816)&gt;=4,4,SUM(J815:J816))</f>
        <v>0</v>
      </c>
      <c r="L817" s="261" t="s">
        <v>281</v>
      </c>
      <c r="M817" s="35"/>
    </row>
    <row r="818" spans="1:13" hidden="1" x14ac:dyDescent="0.45">
      <c r="A818" s="67">
        <v>1</v>
      </c>
      <c r="B818" s="186" t="s">
        <v>128</v>
      </c>
      <c r="C818" s="28" t="s">
        <v>112</v>
      </c>
      <c r="D818" s="28" t="str">
        <f>IF(G818&lt;&gt;"rumus","Semester","")</f>
        <v/>
      </c>
      <c r="E818" s="256" t="str">
        <f t="shared" ref="E818" si="384">IF(I818&lt;&gt;"",1,"")</f>
        <v/>
      </c>
      <c r="F818" s="256" t="str">
        <f t="shared" ref="F818" si="385">IF(I818&lt;&gt;"",J818,"")</f>
        <v/>
      </c>
      <c r="G818" s="159" t="str">
        <f t="shared" ref="G818" si="386">IF(J818&lt;&gt;"rumus","1 x "&amp;J818&amp;" = "&amp;J818,"rumus")</f>
        <v>rumus</v>
      </c>
      <c r="H818" s="28" t="s">
        <v>109</v>
      </c>
      <c r="I818" s="131"/>
      <c r="J818" s="37" t="str">
        <f>IF(I818="Membina kegiatan mahasiswa per semester",2,"rumus")</f>
        <v>rumus</v>
      </c>
      <c r="K818" s="35"/>
      <c r="L818" s="35"/>
      <c r="M818" s="35"/>
    </row>
    <row r="819" spans="1:13" hidden="1" x14ac:dyDescent="0.45">
      <c r="A819" s="67">
        <v>2</v>
      </c>
      <c r="B819" s="199" t="s">
        <v>128</v>
      </c>
      <c r="C819" s="28" t="s">
        <v>112</v>
      </c>
      <c r="D819" s="28" t="str">
        <f>IF(G819&lt;&gt;"rumus","Semester","")</f>
        <v/>
      </c>
      <c r="E819" s="256" t="str">
        <f t="shared" ref="E819" si="387">IF(I819&lt;&gt;"",1,"")</f>
        <v/>
      </c>
      <c r="F819" s="256" t="str">
        <f t="shared" ref="F819" si="388">IF(I819&lt;&gt;"",J819,"")</f>
        <v/>
      </c>
      <c r="G819" s="159" t="str">
        <f t="shared" ref="G819" si="389">IF(J819&lt;&gt;"rumus","1 x "&amp;J819&amp;" = "&amp;J819,"rumus")</f>
        <v>rumus</v>
      </c>
      <c r="H819" s="39" t="s">
        <v>66</v>
      </c>
      <c r="I819" s="131"/>
      <c r="J819" s="37" t="str">
        <f>IF(I819="Membina kegiatan mahasiswa per semester",2,"rumus")</f>
        <v>rumus</v>
      </c>
      <c r="K819" s="35"/>
      <c r="L819" s="35"/>
      <c r="M819" s="35"/>
    </row>
    <row r="820" spans="1:13" ht="15" hidden="1" customHeight="1" x14ac:dyDescent="0.45">
      <c r="A820" s="67"/>
      <c r="B820" s="168" t="str">
        <f>"a. Semester Gasal "&amp;IF(C821&lt;&gt;"",C821,"")&amp;" :"</f>
        <v>a. Semester Gasal 2012/2013 :</v>
      </c>
      <c r="C820" s="57"/>
      <c r="D820" s="57"/>
      <c r="E820" s="57"/>
      <c r="F820" s="57"/>
      <c r="G820" s="57"/>
      <c r="H820" s="188"/>
      <c r="I820" s="35"/>
      <c r="J820" s="35"/>
      <c r="K820" s="35">
        <f>IF(SUM(J818:J819)&gt;=4,4,SUM(J818:J819))</f>
        <v>0</v>
      </c>
      <c r="L820" s="261" t="s">
        <v>281</v>
      </c>
      <c r="M820" s="35"/>
    </row>
    <row r="821" spans="1:13" hidden="1" x14ac:dyDescent="0.45">
      <c r="A821" s="67">
        <v>1</v>
      </c>
      <c r="B821" s="186" t="s">
        <v>128</v>
      </c>
      <c r="C821" s="28" t="s">
        <v>113</v>
      </c>
      <c r="D821" s="28" t="str">
        <f>IF(G821&lt;&gt;"rumus","Semester","")</f>
        <v/>
      </c>
      <c r="E821" s="256" t="str">
        <f t="shared" ref="E821" si="390">IF(I821&lt;&gt;"",1,"")</f>
        <v/>
      </c>
      <c r="F821" s="256" t="str">
        <f t="shared" ref="F821" si="391">IF(I821&lt;&gt;"",J821,"")</f>
        <v/>
      </c>
      <c r="G821" s="159" t="str">
        <f t="shared" ref="G821" si="392">IF(J821&lt;&gt;"rumus","1 x "&amp;J821&amp;" = "&amp;J821,"rumus")</f>
        <v>rumus</v>
      </c>
      <c r="H821" s="28" t="s">
        <v>109</v>
      </c>
      <c r="I821" s="131"/>
      <c r="J821" s="37" t="str">
        <f>IF(I821="Membina kegiatan mahasiswa per semester",2,"rumus")</f>
        <v>rumus</v>
      </c>
      <c r="K821" s="35"/>
      <c r="L821" s="35"/>
      <c r="M821" s="35"/>
    </row>
    <row r="822" spans="1:13" hidden="1" x14ac:dyDescent="0.45">
      <c r="A822" s="67">
        <v>2</v>
      </c>
      <c r="B822" s="199" t="s">
        <v>128</v>
      </c>
      <c r="C822" s="28" t="s">
        <v>113</v>
      </c>
      <c r="D822" s="28" t="str">
        <f>IF(G822&lt;&gt;"rumus","Semester","")</f>
        <v/>
      </c>
      <c r="E822" s="256" t="str">
        <f t="shared" ref="E822" si="393">IF(I822&lt;&gt;"",1,"")</f>
        <v/>
      </c>
      <c r="F822" s="256" t="str">
        <f t="shared" ref="F822" si="394">IF(I822&lt;&gt;"",J822,"")</f>
        <v/>
      </c>
      <c r="G822" s="159" t="str">
        <f t="shared" ref="G822" si="395">IF(J822&lt;&gt;"rumus","1 x "&amp;J822&amp;" = "&amp;J822,"rumus")</f>
        <v>rumus</v>
      </c>
      <c r="H822" s="39" t="s">
        <v>66</v>
      </c>
      <c r="I822" s="131"/>
      <c r="J822" s="37" t="str">
        <f>IF(I822="Membina kegiatan mahasiswa per semester",2,"rumus")</f>
        <v>rumus</v>
      </c>
      <c r="K822" s="35"/>
      <c r="L822" s="35"/>
      <c r="M822" s="35"/>
    </row>
    <row r="823" spans="1:13" ht="15" hidden="1" customHeight="1" x14ac:dyDescent="0.45">
      <c r="A823" s="67"/>
      <c r="B823" s="168" t="str">
        <f>"a. Semester Gasal "&amp;IF(C824&lt;&gt;"",C824,"")&amp;" :"</f>
        <v>a. Semester Gasal 2013/2014 :</v>
      </c>
      <c r="C823" s="57"/>
      <c r="D823" s="57"/>
      <c r="E823" s="57"/>
      <c r="F823" s="57"/>
      <c r="G823" s="57"/>
      <c r="H823" s="188"/>
      <c r="I823" s="35"/>
      <c r="J823" s="35"/>
      <c r="K823" s="35">
        <f>IF(SUM(J821:J822)&gt;=4,4,SUM(J821:J822))</f>
        <v>0</v>
      </c>
      <c r="L823" s="261" t="s">
        <v>281</v>
      </c>
      <c r="M823" s="35"/>
    </row>
    <row r="824" spans="1:13" hidden="1" x14ac:dyDescent="0.45">
      <c r="A824" s="67">
        <v>1</v>
      </c>
      <c r="B824" s="186" t="s">
        <v>128</v>
      </c>
      <c r="C824" s="28" t="s">
        <v>114</v>
      </c>
      <c r="D824" s="28" t="str">
        <f>IF(G824&lt;&gt;"rumus","Semester","")</f>
        <v/>
      </c>
      <c r="E824" s="256" t="str">
        <f t="shared" ref="E824" si="396">IF(I824&lt;&gt;"",1,"")</f>
        <v/>
      </c>
      <c r="F824" s="256" t="str">
        <f t="shared" ref="F824" si="397">IF(I824&lt;&gt;"",J824,"")</f>
        <v/>
      </c>
      <c r="G824" s="159" t="str">
        <f t="shared" ref="G824" si="398">IF(J824&lt;&gt;"rumus","1 x "&amp;J824&amp;" = "&amp;J824,"rumus")</f>
        <v>rumus</v>
      </c>
      <c r="H824" s="28" t="s">
        <v>109</v>
      </c>
      <c r="I824" s="131"/>
      <c r="J824" s="37" t="str">
        <f>IF(I824="Membina kegiatan mahasiswa per semester",2,"rumus")</f>
        <v>rumus</v>
      </c>
      <c r="K824" s="35"/>
      <c r="L824" s="35"/>
      <c r="M824" s="35"/>
    </row>
    <row r="825" spans="1:13" hidden="1" x14ac:dyDescent="0.45">
      <c r="A825" s="67">
        <v>2</v>
      </c>
      <c r="B825" s="199" t="s">
        <v>128</v>
      </c>
      <c r="C825" s="28" t="s">
        <v>114</v>
      </c>
      <c r="D825" s="28" t="str">
        <f>IF(G825&lt;&gt;"rumus","Semester","")</f>
        <v/>
      </c>
      <c r="E825" s="256" t="str">
        <f t="shared" ref="E825" si="399">IF(I825&lt;&gt;"",1,"")</f>
        <v/>
      </c>
      <c r="F825" s="256" t="str">
        <f t="shared" ref="F825" si="400">IF(I825&lt;&gt;"",J825,"")</f>
        <v/>
      </c>
      <c r="G825" s="159" t="str">
        <f t="shared" ref="G825" si="401">IF(J825&lt;&gt;"rumus","1 x "&amp;J825&amp;" = "&amp;J825,"rumus")</f>
        <v>rumus</v>
      </c>
      <c r="H825" s="39" t="s">
        <v>66</v>
      </c>
      <c r="I825" s="131"/>
      <c r="J825" s="37" t="str">
        <f>IF(I825="Membina kegiatan mahasiswa per semester",2,"rumus")</f>
        <v>rumus</v>
      </c>
      <c r="K825" s="35"/>
      <c r="L825" s="35"/>
      <c r="M825" s="35"/>
    </row>
    <row r="826" spans="1:13" ht="15" hidden="1" customHeight="1" x14ac:dyDescent="0.45">
      <c r="A826" s="67"/>
      <c r="B826" s="168" t="str">
        <f>"a. Semester Gasal "&amp;IF(C827&lt;&gt;"",C827,"")&amp;" :"</f>
        <v>a. Semester Gasal 2014/2015 :</v>
      </c>
      <c r="C826" s="57"/>
      <c r="D826" s="57"/>
      <c r="E826" s="57"/>
      <c r="F826" s="57"/>
      <c r="G826" s="57"/>
      <c r="H826" s="188"/>
      <c r="I826" s="35"/>
      <c r="J826" s="35"/>
      <c r="K826" s="35">
        <f>IF(SUM(J824:J825)&gt;=4,4,SUM(J824:J825))</f>
        <v>0</v>
      </c>
      <c r="L826" s="261" t="s">
        <v>281</v>
      </c>
      <c r="M826" s="35"/>
    </row>
    <row r="827" spans="1:13" hidden="1" x14ac:dyDescent="0.45">
      <c r="A827" s="67">
        <v>1</v>
      </c>
      <c r="B827" s="186" t="s">
        <v>128</v>
      </c>
      <c r="C827" s="28" t="s">
        <v>251</v>
      </c>
      <c r="D827" s="28" t="str">
        <f>IF(G827&lt;&gt;"rumus","Semester","")</f>
        <v/>
      </c>
      <c r="E827" s="256" t="str">
        <f t="shared" ref="E827" si="402">IF(I827&lt;&gt;"",1,"")</f>
        <v/>
      </c>
      <c r="F827" s="256" t="str">
        <f t="shared" ref="F827" si="403">IF(I827&lt;&gt;"",J827,"")</f>
        <v/>
      </c>
      <c r="G827" s="159" t="str">
        <f t="shared" ref="G827" si="404">IF(J827&lt;&gt;"rumus","1 x "&amp;J827&amp;" = "&amp;J827,"rumus")</f>
        <v>rumus</v>
      </c>
      <c r="H827" s="28" t="s">
        <v>109</v>
      </c>
      <c r="I827" s="131"/>
      <c r="J827" s="37" t="str">
        <f>IF(I827="Membina kegiatan mahasiswa per semester",2,"rumus")</f>
        <v>rumus</v>
      </c>
      <c r="K827" s="35"/>
      <c r="L827" s="35"/>
      <c r="M827" s="35"/>
    </row>
    <row r="828" spans="1:13" hidden="1" x14ac:dyDescent="0.45">
      <c r="A828" s="67">
        <v>2</v>
      </c>
      <c r="B828" s="199" t="s">
        <v>128</v>
      </c>
      <c r="C828" s="28" t="s">
        <v>251</v>
      </c>
      <c r="D828" s="28" t="str">
        <f>IF(G828&lt;&gt;"rumus","Semester","")</f>
        <v/>
      </c>
      <c r="E828" s="256" t="str">
        <f t="shared" ref="E828" si="405">IF(I828&lt;&gt;"",1,"")</f>
        <v/>
      </c>
      <c r="F828" s="256" t="str">
        <f t="shared" ref="F828" si="406">IF(I828&lt;&gt;"",J828,"")</f>
        <v/>
      </c>
      <c r="G828" s="159" t="str">
        <f t="shared" ref="G828" si="407">IF(J828&lt;&gt;"rumus","1 x "&amp;J828&amp;" = "&amp;J828,"rumus")</f>
        <v>rumus</v>
      </c>
      <c r="H828" s="39" t="s">
        <v>66</v>
      </c>
      <c r="I828" s="131"/>
      <c r="J828" s="37" t="str">
        <f>IF(I828="Membina kegiatan mahasiswa per semester",2,"rumus")</f>
        <v>rumus</v>
      </c>
      <c r="K828" s="35"/>
      <c r="L828" s="35"/>
      <c r="M828" s="35"/>
    </row>
    <row r="829" spans="1:13" ht="15" hidden="1" customHeight="1" x14ac:dyDescent="0.45">
      <c r="A829" s="67"/>
      <c r="B829" s="168" t="str">
        <f>"a. Semester Gasal "&amp;IF(C830&lt;&gt;"",C830,"")&amp;" :"</f>
        <v>a. Semester Gasal 2015/2016 :</v>
      </c>
      <c r="C829" s="57"/>
      <c r="D829" s="57"/>
      <c r="E829" s="57"/>
      <c r="F829" s="57"/>
      <c r="G829" s="57"/>
      <c r="H829" s="188"/>
      <c r="I829" s="35"/>
      <c r="J829" s="35"/>
      <c r="K829" s="35">
        <f>IF(SUM(J827:J828)&gt;=4,4,SUM(J827:J828))</f>
        <v>0</v>
      </c>
      <c r="L829" s="261" t="s">
        <v>281</v>
      </c>
      <c r="M829" s="35"/>
    </row>
    <row r="830" spans="1:13" hidden="1" x14ac:dyDescent="0.45">
      <c r="A830" s="67">
        <v>1</v>
      </c>
      <c r="B830" s="186" t="s">
        <v>128</v>
      </c>
      <c r="C830" s="28" t="s">
        <v>252</v>
      </c>
      <c r="D830" s="28" t="str">
        <f>IF(G830&lt;&gt;"rumus","Semester","")</f>
        <v/>
      </c>
      <c r="E830" s="256" t="str">
        <f t="shared" ref="E830" si="408">IF(I830&lt;&gt;"",1,"")</f>
        <v/>
      </c>
      <c r="F830" s="256" t="str">
        <f t="shared" ref="F830" si="409">IF(I830&lt;&gt;"",J830,"")</f>
        <v/>
      </c>
      <c r="G830" s="159" t="str">
        <f t="shared" ref="G830" si="410">IF(J830&lt;&gt;"rumus","1 x "&amp;J830&amp;" = "&amp;J830,"rumus")</f>
        <v>rumus</v>
      </c>
      <c r="H830" s="28" t="s">
        <v>109</v>
      </c>
      <c r="I830" s="131"/>
      <c r="J830" s="37" t="str">
        <f>IF(I830="Membina kegiatan mahasiswa per semester",2,"rumus")</f>
        <v>rumus</v>
      </c>
      <c r="K830" s="35"/>
      <c r="L830" s="35"/>
      <c r="M830" s="35"/>
    </row>
    <row r="831" spans="1:13" hidden="1" x14ac:dyDescent="0.45">
      <c r="A831" s="67">
        <v>2</v>
      </c>
      <c r="B831" s="199" t="s">
        <v>128</v>
      </c>
      <c r="C831" s="28" t="s">
        <v>252</v>
      </c>
      <c r="D831" s="28" t="str">
        <f>IF(G831&lt;&gt;"rumus","Semester","")</f>
        <v/>
      </c>
      <c r="E831" s="256" t="str">
        <f t="shared" ref="E831" si="411">IF(I831&lt;&gt;"",1,"")</f>
        <v/>
      </c>
      <c r="F831" s="256" t="str">
        <f t="shared" ref="F831" si="412">IF(I831&lt;&gt;"",J831,"")</f>
        <v/>
      </c>
      <c r="G831" s="159" t="str">
        <f t="shared" ref="G831" si="413">IF(J831&lt;&gt;"rumus","1 x "&amp;J831&amp;" = "&amp;J831,"rumus")</f>
        <v>rumus</v>
      </c>
      <c r="H831" s="39" t="s">
        <v>66</v>
      </c>
      <c r="I831" s="131"/>
      <c r="J831" s="37" t="str">
        <f>IF(I831="Membina kegiatan mahasiswa per semester",2,"rumus")</f>
        <v>rumus</v>
      </c>
      <c r="K831" s="35"/>
      <c r="L831" s="35"/>
      <c r="M831" s="35"/>
    </row>
    <row r="832" spans="1:13" ht="15" hidden="1" customHeight="1" x14ac:dyDescent="0.45">
      <c r="A832" s="70"/>
      <c r="B832" s="168" t="str">
        <f>"a. Semester Genap "&amp;IF(C833&lt;&gt;"",C833,"")&amp;" :"</f>
        <v>a. Semester Genap 2004/2005 :</v>
      </c>
      <c r="C832" s="30"/>
      <c r="D832" s="30"/>
      <c r="E832" s="30"/>
      <c r="F832" s="30"/>
      <c r="G832" s="30"/>
      <c r="H832" s="94"/>
      <c r="I832" s="35"/>
      <c r="J832" s="35"/>
      <c r="K832" s="35">
        <f>IF(SUM(J830:J831)&gt;=4,4,SUM(J830:J831))</f>
        <v>0</v>
      </c>
      <c r="L832" s="261" t="s">
        <v>281</v>
      </c>
      <c r="M832" s="35"/>
    </row>
    <row r="833" spans="1:13" hidden="1" x14ac:dyDescent="0.45">
      <c r="A833" s="67">
        <v>1</v>
      </c>
      <c r="B833" s="199" t="s">
        <v>128</v>
      </c>
      <c r="C833" s="28" t="s">
        <v>141</v>
      </c>
      <c r="D833" s="28" t="str">
        <f>IF(G833&lt;&gt;"rumus","Semester","")</f>
        <v/>
      </c>
      <c r="E833" s="256" t="str">
        <f t="shared" ref="E833:E834" si="414">IF(I833&lt;&gt;"",1,"")</f>
        <v/>
      </c>
      <c r="F833" s="256" t="str">
        <f t="shared" ref="F833:F834" si="415">IF(I833&lt;&gt;"",J833,"")</f>
        <v/>
      </c>
      <c r="G833" s="159" t="str">
        <f t="shared" ref="G833:G834" si="416">IF(J833&lt;&gt;"rumus","1 x "&amp;J833&amp;" = "&amp;J833,"rumus")</f>
        <v>rumus</v>
      </c>
      <c r="H833" s="28" t="s">
        <v>109</v>
      </c>
      <c r="I833" s="131"/>
      <c r="J833" s="37" t="str">
        <f>IF(I833="Membina kegiatan mahasiswa per semester",2,"rumus")</f>
        <v>rumus</v>
      </c>
      <c r="K833" s="35"/>
      <c r="L833" s="35"/>
      <c r="M833" s="35"/>
    </row>
    <row r="834" spans="1:13" hidden="1" x14ac:dyDescent="0.45">
      <c r="A834" s="67">
        <v>2</v>
      </c>
      <c r="B834" s="199" t="s">
        <v>128</v>
      </c>
      <c r="C834" s="28" t="s">
        <v>141</v>
      </c>
      <c r="D834" s="28" t="str">
        <f>IF(G834&lt;&gt;"rumus","Semester","")</f>
        <v/>
      </c>
      <c r="E834" s="256" t="str">
        <f t="shared" si="414"/>
        <v/>
      </c>
      <c r="F834" s="256" t="str">
        <f t="shared" si="415"/>
        <v/>
      </c>
      <c r="G834" s="159" t="str">
        <f t="shared" si="416"/>
        <v>rumus</v>
      </c>
      <c r="H834" s="39" t="s">
        <v>66</v>
      </c>
      <c r="I834" s="131"/>
      <c r="J834" s="37" t="str">
        <f>IF(I834="Membina kegiatan mahasiswa per semester",2,"rumus")</f>
        <v>rumus</v>
      </c>
      <c r="K834" s="35"/>
      <c r="L834" s="35"/>
      <c r="M834" s="35"/>
    </row>
    <row r="835" spans="1:13" ht="15" hidden="1" customHeight="1" x14ac:dyDescent="0.45">
      <c r="A835" s="67"/>
      <c r="B835" s="168" t="str">
        <f>"a. Semester Genap "&amp;IF(C836&lt;&gt;"",C836,"")&amp;" :"</f>
        <v>a. Semester Genap 2005/2006 :</v>
      </c>
      <c r="C835" s="57"/>
      <c r="D835" s="57"/>
      <c r="E835" s="57"/>
      <c r="F835" s="57"/>
      <c r="G835" s="57"/>
      <c r="H835" s="188"/>
      <c r="I835" s="35"/>
      <c r="J835" s="35"/>
      <c r="K835" s="35">
        <f>IF(SUM(J833:J834)&gt;=4,4,SUM(J833:J834))</f>
        <v>0</v>
      </c>
      <c r="L835" s="261" t="s">
        <v>281</v>
      </c>
      <c r="M835" s="35"/>
    </row>
    <row r="836" spans="1:13" hidden="1" x14ac:dyDescent="0.45">
      <c r="A836" s="67">
        <v>1</v>
      </c>
      <c r="B836" s="199" t="s">
        <v>128</v>
      </c>
      <c r="C836" s="28" t="s">
        <v>142</v>
      </c>
      <c r="D836" s="28" t="str">
        <f>IF(G836&lt;&gt;"rumus","Semester","")</f>
        <v/>
      </c>
      <c r="E836" s="256" t="str">
        <f t="shared" ref="E836:E837" si="417">IF(I836&lt;&gt;"",1,"")</f>
        <v/>
      </c>
      <c r="F836" s="256" t="str">
        <f t="shared" ref="F836:F837" si="418">IF(I836&lt;&gt;"",J836,"")</f>
        <v/>
      </c>
      <c r="G836" s="159" t="str">
        <f t="shared" ref="G836:G837" si="419">IF(J836&lt;&gt;"rumus","1 x "&amp;J836&amp;" = "&amp;J836,"rumus")</f>
        <v>rumus</v>
      </c>
      <c r="H836" s="28" t="s">
        <v>109</v>
      </c>
      <c r="I836" s="131"/>
      <c r="J836" s="37" t="str">
        <f>IF(I836="Membina kegiatan mahasiswa per semester",2,"rumus")</f>
        <v>rumus</v>
      </c>
      <c r="K836" s="35"/>
      <c r="L836" s="35"/>
      <c r="M836" s="35"/>
    </row>
    <row r="837" spans="1:13" hidden="1" x14ac:dyDescent="0.45">
      <c r="A837" s="67">
        <v>2</v>
      </c>
      <c r="B837" s="199" t="s">
        <v>128</v>
      </c>
      <c r="C837" s="28" t="s">
        <v>142</v>
      </c>
      <c r="D837" s="28" t="str">
        <f>IF(G837&lt;&gt;"rumus","Semester","")</f>
        <v/>
      </c>
      <c r="E837" s="256" t="str">
        <f t="shared" si="417"/>
        <v/>
      </c>
      <c r="F837" s="256" t="str">
        <f t="shared" si="418"/>
        <v/>
      </c>
      <c r="G837" s="159" t="str">
        <f t="shared" si="419"/>
        <v>rumus</v>
      </c>
      <c r="H837" s="39" t="s">
        <v>66</v>
      </c>
      <c r="I837" s="131"/>
      <c r="J837" s="37" t="str">
        <f>IF(I837="Membina kegiatan mahasiswa per semester",2,"rumus")</f>
        <v>rumus</v>
      </c>
      <c r="K837" s="35"/>
      <c r="L837" s="35"/>
      <c r="M837" s="35"/>
    </row>
    <row r="838" spans="1:13" ht="15" hidden="1" customHeight="1" x14ac:dyDescent="0.45">
      <c r="A838" s="67"/>
      <c r="B838" s="168" t="str">
        <f>"a. Semester Genap "&amp;IF(C839&lt;&gt;"",C839,"")&amp;" :"</f>
        <v>a. Semester Genap 2006/2007 :</v>
      </c>
      <c r="C838" s="57"/>
      <c r="D838" s="57"/>
      <c r="E838" s="57"/>
      <c r="F838" s="57"/>
      <c r="G838" s="57"/>
      <c r="H838" s="188"/>
      <c r="I838" s="35"/>
      <c r="J838" s="35"/>
      <c r="K838" s="35">
        <f>IF(SUM(J836:J837)&gt;=4,4,SUM(J836:J837))</f>
        <v>0</v>
      </c>
      <c r="L838" s="261" t="s">
        <v>281</v>
      </c>
      <c r="M838" s="35"/>
    </row>
    <row r="839" spans="1:13" s="140" customFormat="1" hidden="1" x14ac:dyDescent="0.45">
      <c r="A839" s="67">
        <v>1</v>
      </c>
      <c r="B839" s="199" t="s">
        <v>128</v>
      </c>
      <c r="C839" s="172" t="s">
        <v>143</v>
      </c>
      <c r="D839" s="28" t="str">
        <f>IF(G839&lt;&gt;"rumus","Semester","")</f>
        <v/>
      </c>
      <c r="E839" s="256" t="str">
        <f t="shared" ref="E839:E840" si="420">IF(I839&lt;&gt;"",1,"")</f>
        <v/>
      </c>
      <c r="F839" s="256" t="str">
        <f t="shared" ref="F839:F840" si="421">IF(I839&lt;&gt;"",J839,"")</f>
        <v/>
      </c>
      <c r="G839" s="159" t="str">
        <f t="shared" ref="G839:G840" si="422">IF(J839&lt;&gt;"rumus","1 x "&amp;J839&amp;" = "&amp;J839,"rumus")</f>
        <v>rumus</v>
      </c>
      <c r="H839" s="28" t="s">
        <v>109</v>
      </c>
      <c r="I839" s="131"/>
      <c r="J839" s="37" t="str">
        <f>IF(I839="Membina kegiatan mahasiswa per semester",2,"rumus")</f>
        <v>rumus</v>
      </c>
      <c r="K839" s="175"/>
      <c r="L839" s="175"/>
      <c r="M839" s="175"/>
    </row>
    <row r="840" spans="1:13" s="140" customFormat="1" hidden="1" x14ac:dyDescent="0.45">
      <c r="A840" s="67">
        <v>2</v>
      </c>
      <c r="B840" s="199" t="s">
        <v>128</v>
      </c>
      <c r="C840" s="172" t="s">
        <v>143</v>
      </c>
      <c r="D840" s="28" t="str">
        <f>IF(G840&lt;&gt;"rumus","Semester","")</f>
        <v/>
      </c>
      <c r="E840" s="256" t="str">
        <f t="shared" si="420"/>
        <v/>
      </c>
      <c r="F840" s="256" t="str">
        <f t="shared" si="421"/>
        <v/>
      </c>
      <c r="G840" s="159" t="str">
        <f t="shared" si="422"/>
        <v>rumus</v>
      </c>
      <c r="H840" s="39" t="s">
        <v>66</v>
      </c>
      <c r="I840" s="131"/>
      <c r="J840" s="37" t="str">
        <f>IF(I840="Membina kegiatan mahasiswa per semester",2,"rumus")</f>
        <v>rumus</v>
      </c>
      <c r="K840" s="175"/>
      <c r="L840" s="175"/>
      <c r="M840" s="175"/>
    </row>
    <row r="841" spans="1:13" ht="15" hidden="1" customHeight="1" x14ac:dyDescent="0.45">
      <c r="A841" s="67"/>
      <c r="B841" s="168" t="str">
        <f>"a. Semester Genap "&amp;IF(C842&lt;&gt;"",C842,"")&amp;" :"</f>
        <v>a. Semester Genap 2007/2008 :</v>
      </c>
      <c r="C841" s="57"/>
      <c r="D841" s="57"/>
      <c r="E841" s="57"/>
      <c r="F841" s="57"/>
      <c r="G841" s="57"/>
      <c r="H841" s="188"/>
      <c r="I841" s="35"/>
      <c r="J841" s="35"/>
      <c r="K841" s="35">
        <f>IF(SUM(J839:J840)&gt;=4,4,SUM(J839:J840))</f>
        <v>0</v>
      </c>
      <c r="L841" s="261" t="s">
        <v>281</v>
      </c>
      <c r="M841" s="35"/>
    </row>
    <row r="842" spans="1:13" hidden="1" x14ac:dyDescent="0.45">
      <c r="A842" s="67">
        <v>1</v>
      </c>
      <c r="B842" s="199" t="s">
        <v>128</v>
      </c>
      <c r="C842" s="28" t="s">
        <v>144</v>
      </c>
      <c r="D842" s="28" t="str">
        <f>IF(G842&lt;&gt;"rumus","Semester","")</f>
        <v/>
      </c>
      <c r="E842" s="256" t="str">
        <f t="shared" ref="E842:E843" si="423">IF(I842&lt;&gt;"",1,"")</f>
        <v/>
      </c>
      <c r="F842" s="256" t="str">
        <f t="shared" ref="F842:F843" si="424">IF(I842&lt;&gt;"",J842,"")</f>
        <v/>
      </c>
      <c r="G842" s="159" t="str">
        <f t="shared" ref="G842:G843" si="425">IF(J842&lt;&gt;"rumus","1 x "&amp;J842&amp;" = "&amp;J842,"rumus")</f>
        <v>rumus</v>
      </c>
      <c r="H842" s="28" t="s">
        <v>109</v>
      </c>
      <c r="I842" s="131"/>
      <c r="J842" s="37" t="str">
        <f>IF(I842="Membina kegiatan mahasiswa per semester",2,"rumus")</f>
        <v>rumus</v>
      </c>
      <c r="K842" s="35"/>
      <c r="L842" s="35"/>
      <c r="M842" s="35"/>
    </row>
    <row r="843" spans="1:13" hidden="1" x14ac:dyDescent="0.45">
      <c r="A843" s="67">
        <v>2</v>
      </c>
      <c r="B843" s="199" t="s">
        <v>128</v>
      </c>
      <c r="C843" s="28" t="s">
        <v>144</v>
      </c>
      <c r="D843" s="28" t="str">
        <f>IF(G843&lt;&gt;"rumus","Semester","")</f>
        <v/>
      </c>
      <c r="E843" s="256" t="str">
        <f t="shared" si="423"/>
        <v/>
      </c>
      <c r="F843" s="256" t="str">
        <f t="shared" si="424"/>
        <v/>
      </c>
      <c r="G843" s="159" t="str">
        <f t="shared" si="425"/>
        <v>rumus</v>
      </c>
      <c r="H843" s="39" t="s">
        <v>66</v>
      </c>
      <c r="I843" s="131"/>
      <c r="J843" s="37" t="str">
        <f>IF(I843="Membina kegiatan mahasiswa per semester",2,"rumus")</f>
        <v>rumus</v>
      </c>
      <c r="K843" s="35"/>
      <c r="L843" s="35"/>
      <c r="M843" s="35"/>
    </row>
    <row r="844" spans="1:13" ht="15" hidden="1" customHeight="1" x14ac:dyDescent="0.45">
      <c r="A844" s="67"/>
      <c r="B844" s="168" t="str">
        <f>"a. Semester Genap "&amp;IF(C845&lt;&gt;"",C845,"")&amp;" :"</f>
        <v>a. Semester Genap 2008/2009 :</v>
      </c>
      <c r="C844" s="57"/>
      <c r="D844" s="57"/>
      <c r="E844" s="57"/>
      <c r="F844" s="57"/>
      <c r="G844" s="57"/>
      <c r="H844" s="188"/>
      <c r="I844" s="35"/>
      <c r="J844" s="35"/>
      <c r="K844" s="35">
        <f>IF(SUM(J842:J843)&gt;=4,4,SUM(J842:J843))</f>
        <v>0</v>
      </c>
      <c r="L844" s="261" t="s">
        <v>281</v>
      </c>
      <c r="M844" s="35"/>
    </row>
    <row r="845" spans="1:13" s="140" customFormat="1" hidden="1" x14ac:dyDescent="0.45">
      <c r="A845" s="67">
        <v>1</v>
      </c>
      <c r="B845" s="199" t="s">
        <v>128</v>
      </c>
      <c r="C845" s="172" t="s">
        <v>145</v>
      </c>
      <c r="D845" s="28" t="str">
        <f>IF(G845&lt;&gt;"rumus","Semester","")</f>
        <v/>
      </c>
      <c r="E845" s="256" t="str">
        <f t="shared" ref="E845:E846" si="426">IF(I845&lt;&gt;"",1,"")</f>
        <v/>
      </c>
      <c r="F845" s="256" t="str">
        <f t="shared" ref="F845:F846" si="427">IF(I845&lt;&gt;"",J845,"")</f>
        <v/>
      </c>
      <c r="G845" s="159" t="str">
        <f t="shared" ref="G845:G846" si="428">IF(J845&lt;&gt;"rumus","1 x "&amp;J845&amp;" = "&amp;J845,"rumus")</f>
        <v>rumus</v>
      </c>
      <c r="H845" s="28" t="s">
        <v>109</v>
      </c>
      <c r="I845" s="131"/>
      <c r="J845" s="37" t="str">
        <f>IF(I845="Membina kegiatan mahasiswa per semester",2,"rumus")</f>
        <v>rumus</v>
      </c>
      <c r="K845" s="175"/>
      <c r="L845" s="175"/>
      <c r="M845" s="175"/>
    </row>
    <row r="846" spans="1:13" s="140" customFormat="1" hidden="1" x14ac:dyDescent="0.45">
      <c r="A846" s="67">
        <v>2</v>
      </c>
      <c r="B846" s="199" t="s">
        <v>128</v>
      </c>
      <c r="C846" s="172" t="s">
        <v>145</v>
      </c>
      <c r="D846" s="28" t="str">
        <f>IF(G846&lt;&gt;"rumus","Semester","")</f>
        <v/>
      </c>
      <c r="E846" s="256" t="str">
        <f t="shared" si="426"/>
        <v/>
      </c>
      <c r="F846" s="256" t="str">
        <f t="shared" si="427"/>
        <v/>
      </c>
      <c r="G846" s="159" t="str">
        <f t="shared" si="428"/>
        <v>rumus</v>
      </c>
      <c r="H846" s="39" t="s">
        <v>66</v>
      </c>
      <c r="I846" s="131"/>
      <c r="J846" s="37" t="str">
        <f>IF(I846="Membina kegiatan mahasiswa per semester",2,"rumus")</f>
        <v>rumus</v>
      </c>
      <c r="K846" s="175"/>
      <c r="L846" s="175"/>
      <c r="M846" s="175"/>
    </row>
    <row r="847" spans="1:13" ht="15" hidden="1" customHeight="1" x14ac:dyDescent="0.45">
      <c r="A847" s="67"/>
      <c r="B847" s="168" t="str">
        <f>"a. Semester Genap "&amp;IF(C848&lt;&gt;"",C848,"")&amp;" :"</f>
        <v>a. Semester Genap 2009/2010 :</v>
      </c>
      <c r="C847" s="57"/>
      <c r="D847" s="57"/>
      <c r="E847" s="57"/>
      <c r="F847" s="57"/>
      <c r="G847" s="57"/>
      <c r="H847" s="188"/>
      <c r="I847" s="35"/>
      <c r="J847" s="35"/>
      <c r="K847" s="35">
        <f>IF(SUM(J845:J846)&gt;=4,4,SUM(J845:J846))</f>
        <v>0</v>
      </c>
      <c r="L847" s="261" t="s">
        <v>281</v>
      </c>
      <c r="M847" s="35"/>
    </row>
    <row r="848" spans="1:13" s="140" customFormat="1" hidden="1" x14ac:dyDescent="0.45">
      <c r="A848" s="67">
        <v>1</v>
      </c>
      <c r="B848" s="199" t="s">
        <v>128</v>
      </c>
      <c r="C848" s="172" t="s">
        <v>146</v>
      </c>
      <c r="D848" s="28" t="str">
        <f>IF(G848&lt;&gt;"rumus","Semester","")</f>
        <v/>
      </c>
      <c r="E848" s="256" t="str">
        <f t="shared" ref="E848:E849" si="429">IF(I848&lt;&gt;"",1,"")</f>
        <v/>
      </c>
      <c r="F848" s="256" t="str">
        <f t="shared" ref="F848:F849" si="430">IF(I848&lt;&gt;"",J848,"")</f>
        <v/>
      </c>
      <c r="G848" s="159" t="str">
        <f t="shared" ref="G848:G849" si="431">IF(J848&lt;&gt;"rumus","1 x "&amp;J848&amp;" = "&amp;J848,"rumus")</f>
        <v>rumus</v>
      </c>
      <c r="H848" s="28" t="s">
        <v>109</v>
      </c>
      <c r="I848" s="131"/>
      <c r="J848" s="37" t="str">
        <f>IF(I848="Membina kegiatan mahasiswa per semester",2,"rumus")</f>
        <v>rumus</v>
      </c>
      <c r="K848" s="175"/>
      <c r="L848" s="175"/>
      <c r="M848" s="175"/>
    </row>
    <row r="849" spans="1:13" s="140" customFormat="1" hidden="1" x14ac:dyDescent="0.45">
      <c r="A849" s="67">
        <v>2</v>
      </c>
      <c r="B849" s="199" t="s">
        <v>128</v>
      </c>
      <c r="C849" s="172" t="s">
        <v>146</v>
      </c>
      <c r="D849" s="28" t="str">
        <f>IF(G849&lt;&gt;"rumus","Semester","")</f>
        <v/>
      </c>
      <c r="E849" s="256" t="str">
        <f t="shared" si="429"/>
        <v/>
      </c>
      <c r="F849" s="256" t="str">
        <f t="shared" si="430"/>
        <v/>
      </c>
      <c r="G849" s="159" t="str">
        <f t="shared" si="431"/>
        <v>rumus</v>
      </c>
      <c r="H849" s="39" t="s">
        <v>66</v>
      </c>
      <c r="I849" s="131"/>
      <c r="J849" s="37" t="str">
        <f>IF(I849="Membina kegiatan mahasiswa per semester",2,"rumus")</f>
        <v>rumus</v>
      </c>
      <c r="K849" s="175"/>
      <c r="L849" s="175"/>
      <c r="M849" s="175"/>
    </row>
    <row r="850" spans="1:13" ht="15" hidden="1" customHeight="1" x14ac:dyDescent="0.45">
      <c r="A850" s="67"/>
      <c r="B850" s="168" t="str">
        <f>"a. Semester Genap "&amp;IF(C851&lt;&gt;"",C851,"")&amp;" :"</f>
        <v>a. Semester Genap 2010/2011 :</v>
      </c>
      <c r="C850" s="57"/>
      <c r="D850" s="57"/>
      <c r="E850" s="57"/>
      <c r="F850" s="57"/>
      <c r="G850" s="57"/>
      <c r="H850" s="188"/>
      <c r="I850" s="35"/>
      <c r="J850" s="35"/>
      <c r="K850" s="35">
        <f>IF(SUM(J848:J849)&gt;=4,4,SUM(J848:J849))</f>
        <v>0</v>
      </c>
      <c r="L850" s="261" t="s">
        <v>281</v>
      </c>
      <c r="M850" s="35"/>
    </row>
    <row r="851" spans="1:13" hidden="1" x14ac:dyDescent="0.45">
      <c r="A851" s="67">
        <v>1</v>
      </c>
      <c r="B851" s="199" t="s">
        <v>128</v>
      </c>
      <c r="C851" s="28" t="s">
        <v>108</v>
      </c>
      <c r="D851" s="28" t="str">
        <f>IF(G851&lt;&gt;"rumus","Semester","")</f>
        <v/>
      </c>
      <c r="E851" s="256" t="str">
        <f t="shared" ref="E851:E852" si="432">IF(I851&lt;&gt;"",1,"")</f>
        <v/>
      </c>
      <c r="F851" s="256" t="str">
        <f t="shared" ref="F851:F852" si="433">IF(I851&lt;&gt;"",J851,"")</f>
        <v/>
      </c>
      <c r="G851" s="159" t="str">
        <f t="shared" ref="G851:G852" si="434">IF(J851&lt;&gt;"rumus","1 x "&amp;J851&amp;" = "&amp;J851,"rumus")</f>
        <v>rumus</v>
      </c>
      <c r="H851" s="28" t="s">
        <v>109</v>
      </c>
      <c r="I851" s="131"/>
      <c r="J851" s="37" t="str">
        <f>IF(I851="Membina kegiatan mahasiswa per semester",2,"rumus")</f>
        <v>rumus</v>
      </c>
      <c r="K851" s="35"/>
      <c r="L851" s="35"/>
      <c r="M851" s="35"/>
    </row>
    <row r="852" spans="1:13" hidden="1" x14ac:dyDescent="0.45">
      <c r="A852" s="67">
        <v>2</v>
      </c>
      <c r="B852" s="199" t="s">
        <v>128</v>
      </c>
      <c r="C852" s="28" t="s">
        <v>108</v>
      </c>
      <c r="D852" s="28" t="str">
        <f>IF(G852&lt;&gt;"rumus","Semester","")</f>
        <v/>
      </c>
      <c r="E852" s="256" t="str">
        <f t="shared" si="432"/>
        <v/>
      </c>
      <c r="F852" s="256" t="str">
        <f t="shared" si="433"/>
        <v/>
      </c>
      <c r="G852" s="159" t="str">
        <f t="shared" si="434"/>
        <v>rumus</v>
      </c>
      <c r="H852" s="39" t="s">
        <v>66</v>
      </c>
      <c r="I852" s="131"/>
      <c r="J852" s="37" t="str">
        <f>IF(I852="Membina kegiatan mahasiswa per semester",2,"rumus")</f>
        <v>rumus</v>
      </c>
      <c r="K852" s="35"/>
      <c r="L852" s="35"/>
      <c r="M852" s="35"/>
    </row>
    <row r="853" spans="1:13" ht="15" hidden="1" customHeight="1" x14ac:dyDescent="0.45">
      <c r="A853" s="67"/>
      <c r="B853" s="168" t="str">
        <f>"a. Semester Genap "&amp;IF(C854&lt;&gt;"",C854,"")&amp;" :"</f>
        <v>a. Semester Genap 2011/2012 :</v>
      </c>
      <c r="C853" s="57"/>
      <c r="D853" s="57"/>
      <c r="E853" s="57"/>
      <c r="F853" s="57"/>
      <c r="G853" s="57"/>
      <c r="H853" s="188"/>
      <c r="I853" s="35"/>
      <c r="J853" s="35"/>
      <c r="K853" s="35">
        <f>IF(SUM(J851:J852)&gt;=4,4,SUM(J851:J852))</f>
        <v>0</v>
      </c>
      <c r="L853" s="261" t="s">
        <v>281</v>
      </c>
      <c r="M853" s="35"/>
    </row>
    <row r="854" spans="1:13" hidden="1" x14ac:dyDescent="0.45">
      <c r="A854" s="67">
        <v>1</v>
      </c>
      <c r="B854" s="199" t="s">
        <v>128</v>
      </c>
      <c r="C854" s="28" t="s">
        <v>112</v>
      </c>
      <c r="D854" s="28" t="str">
        <f>IF(G854&lt;&gt;"rumus","Semester","")</f>
        <v/>
      </c>
      <c r="E854" s="256" t="str">
        <f t="shared" ref="E854:E855" si="435">IF(I854&lt;&gt;"",1,"")</f>
        <v/>
      </c>
      <c r="F854" s="256" t="str">
        <f t="shared" ref="F854:F855" si="436">IF(I854&lt;&gt;"",J854,"")</f>
        <v/>
      </c>
      <c r="G854" s="159" t="str">
        <f t="shared" ref="G854:G855" si="437">IF(J854&lt;&gt;"rumus","1 x "&amp;J854&amp;" = "&amp;J854,"rumus")</f>
        <v>rumus</v>
      </c>
      <c r="H854" s="28" t="s">
        <v>109</v>
      </c>
      <c r="I854" s="131"/>
      <c r="J854" s="37" t="str">
        <f>IF(I854="Membina kegiatan mahasiswa per semester",2,"rumus")</f>
        <v>rumus</v>
      </c>
      <c r="K854" s="35"/>
      <c r="L854" s="35"/>
      <c r="M854" s="35"/>
    </row>
    <row r="855" spans="1:13" hidden="1" x14ac:dyDescent="0.45">
      <c r="A855" s="67">
        <v>2</v>
      </c>
      <c r="B855" s="199" t="s">
        <v>128</v>
      </c>
      <c r="C855" s="28" t="s">
        <v>112</v>
      </c>
      <c r="D855" s="28" t="str">
        <f>IF(G855&lt;&gt;"rumus","Semester","")</f>
        <v/>
      </c>
      <c r="E855" s="256" t="str">
        <f t="shared" si="435"/>
        <v/>
      </c>
      <c r="F855" s="256" t="str">
        <f t="shared" si="436"/>
        <v/>
      </c>
      <c r="G855" s="159" t="str">
        <f t="shared" si="437"/>
        <v>rumus</v>
      </c>
      <c r="H855" s="39" t="s">
        <v>66</v>
      </c>
      <c r="I855" s="131"/>
      <c r="J855" s="37" t="str">
        <f>IF(I855="Membina kegiatan mahasiswa per semester",2,"rumus")</f>
        <v>rumus</v>
      </c>
      <c r="K855" s="35"/>
      <c r="L855" s="35"/>
      <c r="M855" s="35"/>
    </row>
    <row r="856" spans="1:13" ht="15" hidden="1" customHeight="1" x14ac:dyDescent="0.45">
      <c r="A856" s="67"/>
      <c r="B856" s="168" t="str">
        <f>"a. Semester Genap "&amp;IF(C857&lt;&gt;"",C857,"")&amp;" :"</f>
        <v>a. Semester Genap 2012/2013 :</v>
      </c>
      <c r="C856" s="57"/>
      <c r="D856" s="57"/>
      <c r="E856" s="57"/>
      <c r="F856" s="57"/>
      <c r="G856" s="57"/>
      <c r="H856" s="188"/>
      <c r="I856" s="35"/>
      <c r="J856" s="35"/>
      <c r="K856" s="35">
        <f>IF(SUM(J854:J855)&gt;=4,4,SUM(J854:J855))</f>
        <v>0</v>
      </c>
      <c r="L856" s="261" t="s">
        <v>281</v>
      </c>
      <c r="M856" s="35"/>
    </row>
    <row r="857" spans="1:13" hidden="1" x14ac:dyDescent="0.45">
      <c r="A857" s="67">
        <v>1</v>
      </c>
      <c r="B857" s="199" t="s">
        <v>128</v>
      </c>
      <c r="C857" s="28" t="s">
        <v>113</v>
      </c>
      <c r="D857" s="28" t="str">
        <f>IF(G857&lt;&gt;"rumus","Semester","")</f>
        <v/>
      </c>
      <c r="E857" s="256" t="str">
        <f t="shared" ref="E857:E858" si="438">IF(I857&lt;&gt;"",1,"")</f>
        <v/>
      </c>
      <c r="F857" s="256" t="str">
        <f t="shared" ref="F857:F858" si="439">IF(I857&lt;&gt;"",J857,"")</f>
        <v/>
      </c>
      <c r="G857" s="159" t="str">
        <f t="shared" ref="G857:G858" si="440">IF(J857&lt;&gt;"rumus","1 x "&amp;J857&amp;" = "&amp;J857,"rumus")</f>
        <v>rumus</v>
      </c>
      <c r="H857" s="28" t="s">
        <v>109</v>
      </c>
      <c r="I857" s="131"/>
      <c r="J857" s="37" t="str">
        <f>IF(I857="Membina kegiatan mahasiswa per semester",2,"rumus")</f>
        <v>rumus</v>
      </c>
      <c r="K857" s="35"/>
      <c r="L857" s="35"/>
      <c r="M857" s="35"/>
    </row>
    <row r="858" spans="1:13" hidden="1" x14ac:dyDescent="0.45">
      <c r="A858" s="67">
        <v>2</v>
      </c>
      <c r="B858" s="199" t="s">
        <v>128</v>
      </c>
      <c r="C858" s="28" t="s">
        <v>113</v>
      </c>
      <c r="D858" s="28" t="str">
        <f>IF(G858&lt;&gt;"rumus","Semester","")</f>
        <v/>
      </c>
      <c r="E858" s="256" t="str">
        <f t="shared" si="438"/>
        <v/>
      </c>
      <c r="F858" s="256" t="str">
        <f t="shared" si="439"/>
        <v/>
      </c>
      <c r="G858" s="159" t="str">
        <f t="shared" si="440"/>
        <v>rumus</v>
      </c>
      <c r="H858" s="39" t="s">
        <v>66</v>
      </c>
      <c r="I858" s="131"/>
      <c r="J858" s="37" t="str">
        <f>IF(I858="Membina kegiatan mahasiswa per semester",2,"rumus")</f>
        <v>rumus</v>
      </c>
      <c r="K858" s="35"/>
      <c r="L858" s="35"/>
      <c r="M858" s="35"/>
    </row>
    <row r="859" spans="1:13" ht="15" hidden="1" customHeight="1" x14ac:dyDescent="0.45">
      <c r="A859" s="67"/>
      <c r="B859" s="168" t="str">
        <f>"a. Semester Genap "&amp;IF(C860&lt;&gt;"",C860,"")&amp;" :"</f>
        <v>a. Semester Genap 2013/2014 :</v>
      </c>
      <c r="C859" s="57"/>
      <c r="D859" s="57"/>
      <c r="E859" s="57"/>
      <c r="F859" s="57"/>
      <c r="G859" s="57"/>
      <c r="H859" s="188"/>
      <c r="I859" s="35"/>
      <c r="J859" s="35"/>
      <c r="K859" s="35">
        <f>IF(SUM(J857:J858)&gt;=4,4,SUM(J857:J858))</f>
        <v>0</v>
      </c>
      <c r="L859" s="261" t="s">
        <v>281</v>
      </c>
      <c r="M859" s="35"/>
    </row>
    <row r="860" spans="1:13" hidden="1" x14ac:dyDescent="0.45">
      <c r="A860" s="67">
        <v>1</v>
      </c>
      <c r="B860" s="199" t="s">
        <v>128</v>
      </c>
      <c r="C860" s="28" t="s">
        <v>114</v>
      </c>
      <c r="D860" s="28" t="str">
        <f>IF(G860&lt;&gt;"rumus","Semester","")</f>
        <v/>
      </c>
      <c r="E860" s="256" t="str">
        <f t="shared" ref="E860:E861" si="441">IF(I860&lt;&gt;"",1,"")</f>
        <v/>
      </c>
      <c r="F860" s="256" t="str">
        <f t="shared" ref="F860:F861" si="442">IF(I860&lt;&gt;"",J860,"")</f>
        <v/>
      </c>
      <c r="G860" s="159" t="str">
        <f t="shared" ref="G860:G861" si="443">IF(J860&lt;&gt;"rumus","1 x "&amp;J860&amp;" = "&amp;J860,"rumus")</f>
        <v>rumus</v>
      </c>
      <c r="H860" s="28" t="s">
        <v>109</v>
      </c>
      <c r="I860" s="131"/>
      <c r="J860" s="37" t="str">
        <f>IF(I860="Membina kegiatan mahasiswa per semester",2,"rumus")</f>
        <v>rumus</v>
      </c>
      <c r="K860" s="35"/>
      <c r="L860" s="35"/>
      <c r="M860" s="35"/>
    </row>
    <row r="861" spans="1:13" hidden="1" x14ac:dyDescent="0.45">
      <c r="A861" s="67">
        <v>2</v>
      </c>
      <c r="B861" s="199" t="s">
        <v>128</v>
      </c>
      <c r="C861" s="28" t="s">
        <v>114</v>
      </c>
      <c r="D861" s="28" t="str">
        <f>IF(G861&lt;&gt;"rumus","Semester","")</f>
        <v/>
      </c>
      <c r="E861" s="256" t="str">
        <f t="shared" si="441"/>
        <v/>
      </c>
      <c r="F861" s="256" t="str">
        <f t="shared" si="442"/>
        <v/>
      </c>
      <c r="G861" s="159" t="str">
        <f t="shared" si="443"/>
        <v>rumus</v>
      </c>
      <c r="H861" s="39" t="s">
        <v>66</v>
      </c>
      <c r="I861" s="131"/>
      <c r="J861" s="37" t="str">
        <f>IF(I861="Membina kegiatan mahasiswa per semester",2,"rumus")</f>
        <v>rumus</v>
      </c>
      <c r="K861" s="35"/>
      <c r="L861" s="35"/>
      <c r="M861" s="35"/>
    </row>
    <row r="862" spans="1:13" ht="15" hidden="1" customHeight="1" x14ac:dyDescent="0.45">
      <c r="A862" s="67"/>
      <c r="B862" s="168" t="str">
        <f>"a. Semester Genap "&amp;IF(C863&lt;&gt;"",C863,"")&amp;" :"</f>
        <v>a. Semester Genap 2014/2015 :</v>
      </c>
      <c r="C862" s="57"/>
      <c r="D862" s="57"/>
      <c r="E862" s="57"/>
      <c r="F862" s="57"/>
      <c r="G862" s="57"/>
      <c r="H862" s="188"/>
      <c r="I862" s="35"/>
      <c r="J862" s="35"/>
      <c r="K862" s="35">
        <f>IF(SUM(J860:J861)&gt;=4,4,SUM(J860:J861))</f>
        <v>0</v>
      </c>
      <c r="L862" s="261" t="s">
        <v>281</v>
      </c>
      <c r="M862" s="35"/>
    </row>
    <row r="863" spans="1:13" hidden="1" x14ac:dyDescent="0.45">
      <c r="A863" s="67">
        <v>1</v>
      </c>
      <c r="B863" s="199" t="s">
        <v>128</v>
      </c>
      <c r="C863" s="28" t="s">
        <v>251</v>
      </c>
      <c r="D863" s="28" t="str">
        <f>IF(G863&lt;&gt;"rumus","Semester","")</f>
        <v/>
      </c>
      <c r="E863" s="256" t="str">
        <f t="shared" ref="E863:E864" si="444">IF(I863&lt;&gt;"",1,"")</f>
        <v/>
      </c>
      <c r="F863" s="256" t="str">
        <f t="shared" ref="F863:F864" si="445">IF(I863&lt;&gt;"",J863,"")</f>
        <v/>
      </c>
      <c r="G863" s="159" t="str">
        <f t="shared" ref="G863:G864" si="446">IF(J863&lt;&gt;"rumus","1 x "&amp;J863&amp;" = "&amp;J863,"rumus")</f>
        <v>rumus</v>
      </c>
      <c r="H863" s="28" t="s">
        <v>109</v>
      </c>
      <c r="I863" s="131"/>
      <c r="J863" s="37" t="str">
        <f>IF(I863="Membina kegiatan mahasiswa per semester",2,"rumus")</f>
        <v>rumus</v>
      </c>
      <c r="K863" s="35"/>
      <c r="L863" s="35"/>
      <c r="M863" s="35"/>
    </row>
    <row r="864" spans="1:13" hidden="1" x14ac:dyDescent="0.45">
      <c r="A864" s="67">
        <v>2</v>
      </c>
      <c r="B864" s="199" t="s">
        <v>128</v>
      </c>
      <c r="C864" s="28" t="s">
        <v>251</v>
      </c>
      <c r="D864" s="28" t="str">
        <f>IF(G864&lt;&gt;"rumus","Semester","")</f>
        <v/>
      </c>
      <c r="E864" s="256" t="str">
        <f t="shared" si="444"/>
        <v/>
      </c>
      <c r="F864" s="256" t="str">
        <f t="shared" si="445"/>
        <v/>
      </c>
      <c r="G864" s="159" t="str">
        <f t="shared" si="446"/>
        <v>rumus</v>
      </c>
      <c r="H864" s="39" t="s">
        <v>66</v>
      </c>
      <c r="I864" s="131"/>
      <c r="J864" s="37" t="str">
        <f>IF(I864="Membina kegiatan mahasiswa per semester",2,"rumus")</f>
        <v>rumus</v>
      </c>
      <c r="K864" s="35"/>
      <c r="L864" s="35"/>
      <c r="M864" s="35"/>
    </row>
    <row r="865" spans="1:13" ht="15" hidden="1" customHeight="1" x14ac:dyDescent="0.45">
      <c r="A865" s="67"/>
      <c r="B865" s="168" t="str">
        <f>"a. Semester Genap "&amp;IF(C866&lt;&gt;"",C866,"")&amp;" :"</f>
        <v>a. Semester Genap 2015/2016 :</v>
      </c>
      <c r="C865" s="57"/>
      <c r="D865" s="57"/>
      <c r="E865" s="57"/>
      <c r="F865" s="57"/>
      <c r="G865" s="57"/>
      <c r="H865" s="188"/>
      <c r="I865" s="35"/>
      <c r="J865" s="35"/>
      <c r="K865" s="35">
        <f>IF(SUM(J863:J864)&gt;=4,4,SUM(J863:J864))</f>
        <v>0</v>
      </c>
      <c r="L865" s="261" t="s">
        <v>281</v>
      </c>
      <c r="M865" s="35"/>
    </row>
    <row r="866" spans="1:13" hidden="1" x14ac:dyDescent="0.45">
      <c r="A866" s="67">
        <v>1</v>
      </c>
      <c r="B866" s="199" t="s">
        <v>128</v>
      </c>
      <c r="C866" s="28" t="s">
        <v>252</v>
      </c>
      <c r="D866" s="28" t="str">
        <f>IF(G866&lt;&gt;"rumus","Semester","")</f>
        <v/>
      </c>
      <c r="E866" s="256" t="str">
        <f t="shared" ref="E866:E867" si="447">IF(I866&lt;&gt;"",1,"")</f>
        <v/>
      </c>
      <c r="F866" s="256" t="str">
        <f t="shared" ref="F866:F867" si="448">IF(I866&lt;&gt;"",J866,"")</f>
        <v/>
      </c>
      <c r="G866" s="159" t="str">
        <f t="shared" ref="G866:G867" si="449">IF(J866&lt;&gt;"rumus","1 x "&amp;J866&amp;" = "&amp;J866,"rumus")</f>
        <v>rumus</v>
      </c>
      <c r="H866" s="28" t="s">
        <v>109</v>
      </c>
      <c r="I866" s="131"/>
      <c r="J866" s="37" t="str">
        <f>IF(I866="Membina kegiatan mahasiswa per semester",2,"rumus")</f>
        <v>rumus</v>
      </c>
      <c r="K866" s="35"/>
      <c r="L866" s="35"/>
      <c r="M866" s="35"/>
    </row>
    <row r="867" spans="1:13" hidden="1" x14ac:dyDescent="0.45">
      <c r="A867" s="67">
        <v>2</v>
      </c>
      <c r="B867" s="199" t="s">
        <v>128</v>
      </c>
      <c r="C867" s="28" t="s">
        <v>252</v>
      </c>
      <c r="D867" s="28" t="str">
        <f>IF(G867&lt;&gt;"rumus","Semester","")</f>
        <v/>
      </c>
      <c r="E867" s="256" t="str">
        <f t="shared" si="447"/>
        <v/>
      </c>
      <c r="F867" s="256" t="str">
        <f t="shared" si="448"/>
        <v/>
      </c>
      <c r="G867" s="159" t="str">
        <f t="shared" si="449"/>
        <v>rumus</v>
      </c>
      <c r="H867" s="39" t="s">
        <v>66</v>
      </c>
      <c r="I867" s="131"/>
      <c r="J867" s="37" t="str">
        <f>IF(I867="Membina kegiatan mahasiswa per semester",2,"rumus")</f>
        <v>rumus</v>
      </c>
      <c r="K867" s="35"/>
      <c r="L867" s="35"/>
      <c r="M867" s="35"/>
    </row>
    <row r="868" spans="1:13" ht="15" customHeight="1" x14ac:dyDescent="0.45">
      <c r="A868" s="70"/>
      <c r="B868" s="968" t="s">
        <v>67</v>
      </c>
      <c r="C868" s="969"/>
      <c r="D868" s="970"/>
      <c r="E868" s="248"/>
      <c r="F868" s="252"/>
      <c r="G868" s="61">
        <f>SUM(K798:K868)</f>
        <v>0</v>
      </c>
      <c r="H868" s="49"/>
      <c r="I868" s="35"/>
      <c r="J868" s="35"/>
      <c r="K868" s="35">
        <f>IF(SUM(J866:J867)&gt;=4,4,SUM(J866:J867))</f>
        <v>0</v>
      </c>
      <c r="L868" s="261" t="s">
        <v>281</v>
      </c>
      <c r="M868" s="35"/>
    </row>
    <row r="869" spans="1:13" ht="15" customHeight="1" x14ac:dyDescent="0.45">
      <c r="A869" s="85" t="s">
        <v>122</v>
      </c>
      <c r="B869" s="71" t="s">
        <v>20</v>
      </c>
      <c r="C869" s="65"/>
      <c r="D869" s="65"/>
      <c r="E869" s="65"/>
      <c r="F869" s="65"/>
      <c r="G869" s="65"/>
      <c r="H869" s="66"/>
      <c r="I869" s="35"/>
      <c r="J869" s="35"/>
      <c r="K869" s="35"/>
      <c r="L869" s="35"/>
      <c r="M869" s="35"/>
    </row>
    <row r="870" spans="1:13" ht="15" customHeight="1" x14ac:dyDescent="0.45">
      <c r="A870" s="67"/>
      <c r="B870" s="168" t="str">
        <f>"a. Semester Gasal "&amp;IF(C871&lt;&gt;"",C871,"")&amp;" :"</f>
        <v>a. Semester Gasal 2004/2005 :</v>
      </c>
      <c r="C870" s="57"/>
      <c r="D870" s="57"/>
      <c r="E870" s="57"/>
      <c r="F870" s="57"/>
      <c r="G870" s="57"/>
      <c r="H870" s="188"/>
      <c r="I870" s="35"/>
      <c r="J870" s="35"/>
      <c r="K870" s="35"/>
      <c r="L870" s="35"/>
      <c r="M870" s="35"/>
    </row>
    <row r="871" spans="1:13" hidden="1" x14ac:dyDescent="0.45">
      <c r="A871" s="67">
        <v>1</v>
      </c>
      <c r="B871" s="199" t="s">
        <v>99</v>
      </c>
      <c r="C871" s="28" t="s">
        <v>141</v>
      </c>
      <c r="D871" s="28" t="str">
        <f>IF(G871&lt;&gt;"rumus","Semester","")</f>
        <v/>
      </c>
      <c r="E871" s="256" t="str">
        <f t="shared" ref="E871:E872" si="450">IF(I871&lt;&gt;"",1,"")</f>
        <v/>
      </c>
      <c r="F871" s="256" t="str">
        <f t="shared" ref="F871:F872" si="451">IF(I871&lt;&gt;"",J871,"")</f>
        <v/>
      </c>
      <c r="G871" s="159" t="str">
        <f t="shared" ref="G871:G872" si="452">IF(J871&lt;&gt;"rumus","1 x "&amp;J871&amp;" = "&amp;J871,"rumus")</f>
        <v>rumus</v>
      </c>
      <c r="H871" s="28" t="s">
        <v>109</v>
      </c>
      <c r="I871" s="131"/>
      <c r="J871" s="37" t="str">
        <f t="shared" ref="J871:J872" si="453">IF(I871="Mengembangkan program kuliah per semester",2,"rumus")</f>
        <v>rumus</v>
      </c>
      <c r="K871" s="261"/>
      <c r="L871" s="261"/>
      <c r="M871" s="35"/>
    </row>
    <row r="872" spans="1:13" hidden="1" x14ac:dyDescent="0.45">
      <c r="A872" s="67">
        <v>2</v>
      </c>
      <c r="B872" s="199" t="s">
        <v>99</v>
      </c>
      <c r="C872" s="28" t="s">
        <v>141</v>
      </c>
      <c r="D872" s="28" t="str">
        <f>IF(G872&lt;&gt;"rumus","Semester","")</f>
        <v/>
      </c>
      <c r="E872" s="256" t="str">
        <f t="shared" si="450"/>
        <v/>
      </c>
      <c r="F872" s="256" t="str">
        <f t="shared" si="451"/>
        <v/>
      </c>
      <c r="G872" s="159" t="str">
        <f t="shared" si="452"/>
        <v>rumus</v>
      </c>
      <c r="H872" s="39" t="s">
        <v>66</v>
      </c>
      <c r="I872" s="131"/>
      <c r="J872" s="37" t="str">
        <f t="shared" si="453"/>
        <v>rumus</v>
      </c>
      <c r="K872" s="261"/>
      <c r="L872" s="261"/>
      <c r="M872" s="35"/>
    </row>
    <row r="873" spans="1:13" ht="15" hidden="1" customHeight="1" x14ac:dyDescent="0.45">
      <c r="A873" s="67"/>
      <c r="B873" s="168" t="str">
        <f>"a. Semester Gasal "&amp;IF(C874&lt;&gt;"",C874,"")&amp;" :"</f>
        <v>a. Semester Gasal 2005/2006 :</v>
      </c>
      <c r="C873" s="57"/>
      <c r="D873" s="57"/>
      <c r="E873" s="57"/>
      <c r="F873" s="57"/>
      <c r="G873" s="57"/>
      <c r="H873" s="188"/>
      <c r="I873" s="35"/>
      <c r="J873" s="35"/>
      <c r="K873" s="261">
        <f>IF(SUM(J871:J872)&gt;=2,2,SUM(J871:J872))</f>
        <v>0</v>
      </c>
      <c r="L873" s="261" t="s">
        <v>283</v>
      </c>
      <c r="M873" s="35"/>
    </row>
    <row r="874" spans="1:13" hidden="1" x14ac:dyDescent="0.45">
      <c r="A874" s="67">
        <v>1</v>
      </c>
      <c r="B874" s="199" t="s">
        <v>99</v>
      </c>
      <c r="C874" s="28" t="s">
        <v>142</v>
      </c>
      <c r="D874" s="28" t="str">
        <f>IF(G874&lt;&gt;"rumus","Semester","")</f>
        <v/>
      </c>
      <c r="E874" s="256" t="str">
        <f t="shared" ref="E874:E875" si="454">IF(I874&lt;&gt;"",1,"")</f>
        <v/>
      </c>
      <c r="F874" s="256" t="str">
        <f t="shared" ref="F874:F875" si="455">IF(I874&lt;&gt;"",J874,"")</f>
        <v/>
      </c>
      <c r="G874" s="159" t="str">
        <f t="shared" ref="G874:G875" si="456">IF(J874&lt;&gt;"rumus","1 x "&amp;J874&amp;" = "&amp;J874,"rumus")</f>
        <v>rumus</v>
      </c>
      <c r="H874" s="28" t="s">
        <v>109</v>
      </c>
      <c r="I874" s="131"/>
      <c r="J874" s="37" t="str">
        <f t="shared" ref="J874:J875" si="457">IF(I874="Mengembangkan program kuliah per semester",2,"rumus")</f>
        <v>rumus</v>
      </c>
      <c r="K874" s="261"/>
      <c r="L874" s="261"/>
      <c r="M874" s="35"/>
    </row>
    <row r="875" spans="1:13" hidden="1" x14ac:dyDescent="0.45">
      <c r="A875" s="67">
        <v>2</v>
      </c>
      <c r="B875" s="199" t="s">
        <v>99</v>
      </c>
      <c r="C875" s="28" t="s">
        <v>142</v>
      </c>
      <c r="D875" s="28" t="str">
        <f>IF(G875&lt;&gt;"rumus","Semester","")</f>
        <v/>
      </c>
      <c r="E875" s="256" t="str">
        <f t="shared" si="454"/>
        <v/>
      </c>
      <c r="F875" s="256" t="str">
        <f t="shared" si="455"/>
        <v/>
      </c>
      <c r="G875" s="159" t="str">
        <f t="shared" si="456"/>
        <v>rumus</v>
      </c>
      <c r="H875" s="39" t="s">
        <v>66</v>
      </c>
      <c r="I875" s="131"/>
      <c r="J875" s="37" t="str">
        <f t="shared" si="457"/>
        <v>rumus</v>
      </c>
      <c r="K875" s="261"/>
      <c r="L875" s="261"/>
      <c r="M875" s="35"/>
    </row>
    <row r="876" spans="1:13" ht="15" hidden="1" customHeight="1" x14ac:dyDescent="0.45">
      <c r="A876" s="67"/>
      <c r="B876" s="168" t="str">
        <f>"a. Semester Gasal "&amp;IF(C877&lt;&gt;"",C877,"")&amp;" :"</f>
        <v>a. Semester Gasal 2006/2007 :</v>
      </c>
      <c r="C876" s="57"/>
      <c r="D876" s="57"/>
      <c r="E876" s="57"/>
      <c r="F876" s="57"/>
      <c r="G876" s="57"/>
      <c r="H876" s="188"/>
      <c r="I876" s="35"/>
      <c r="J876" s="35"/>
      <c r="K876" s="261">
        <f>IF(SUM(J874:J875)&gt;=2,2,SUM(J874:J875))</f>
        <v>0</v>
      </c>
      <c r="L876" s="261" t="s">
        <v>283</v>
      </c>
      <c r="M876" s="35"/>
    </row>
    <row r="877" spans="1:13" s="140" customFormat="1" hidden="1" x14ac:dyDescent="0.45">
      <c r="A877" s="67">
        <v>1</v>
      </c>
      <c r="B877" s="199" t="s">
        <v>99</v>
      </c>
      <c r="C877" s="172" t="s">
        <v>143</v>
      </c>
      <c r="D877" s="28" t="str">
        <f>IF(G877&lt;&gt;"rumus","Semester","")</f>
        <v/>
      </c>
      <c r="E877" s="256" t="str">
        <f t="shared" ref="E877:E878" si="458">IF(I877&lt;&gt;"",1,"")</f>
        <v/>
      </c>
      <c r="F877" s="256" t="str">
        <f t="shared" ref="F877:F878" si="459">IF(I877&lt;&gt;"",J877,"")</f>
        <v/>
      </c>
      <c r="G877" s="159" t="str">
        <f t="shared" ref="G877:G878" si="460">IF(J877&lt;&gt;"rumus","1 x "&amp;J877&amp;" = "&amp;J877,"rumus")</f>
        <v>rumus</v>
      </c>
      <c r="H877" s="28" t="s">
        <v>109</v>
      </c>
      <c r="I877" s="131"/>
      <c r="J877" s="37" t="str">
        <f t="shared" ref="J877:J878" si="461">IF(I877="Mengembangkan program kuliah per semester",2,"rumus")</f>
        <v>rumus</v>
      </c>
      <c r="K877" s="263"/>
      <c r="L877" s="263"/>
      <c r="M877" s="175"/>
    </row>
    <row r="878" spans="1:13" s="140" customFormat="1" hidden="1" x14ac:dyDescent="0.45">
      <c r="A878" s="67">
        <v>2</v>
      </c>
      <c r="B878" s="199" t="s">
        <v>99</v>
      </c>
      <c r="C878" s="172" t="s">
        <v>143</v>
      </c>
      <c r="D878" s="28" t="str">
        <f>IF(G878&lt;&gt;"rumus","Semester","")</f>
        <v/>
      </c>
      <c r="E878" s="256" t="str">
        <f t="shared" si="458"/>
        <v/>
      </c>
      <c r="F878" s="256" t="str">
        <f t="shared" si="459"/>
        <v/>
      </c>
      <c r="G878" s="159" t="str">
        <f t="shared" si="460"/>
        <v>rumus</v>
      </c>
      <c r="H878" s="39" t="s">
        <v>66</v>
      </c>
      <c r="I878" s="131"/>
      <c r="J878" s="37" t="str">
        <f t="shared" si="461"/>
        <v>rumus</v>
      </c>
      <c r="K878" s="263"/>
      <c r="L878" s="263"/>
      <c r="M878" s="175"/>
    </row>
    <row r="879" spans="1:13" ht="15" hidden="1" customHeight="1" x14ac:dyDescent="0.45">
      <c r="A879" s="67"/>
      <c r="B879" s="168" t="str">
        <f>"a. Semester Gasal "&amp;IF(C880&lt;&gt;"",C880,"")&amp;" :"</f>
        <v>a. Semester Gasal 2007/2008 :</v>
      </c>
      <c r="C879" s="57"/>
      <c r="D879" s="57"/>
      <c r="E879" s="57"/>
      <c r="F879" s="57"/>
      <c r="G879" s="57"/>
      <c r="H879" s="188"/>
      <c r="I879" s="35"/>
      <c r="J879" s="35"/>
      <c r="K879" s="261">
        <f>IF(SUM(J877:J878)&gt;=2,2,SUM(J877:J878))</f>
        <v>0</v>
      </c>
      <c r="L879" s="261" t="s">
        <v>283</v>
      </c>
      <c r="M879" s="35"/>
    </row>
    <row r="880" spans="1:13" hidden="1" x14ac:dyDescent="0.45">
      <c r="A880" s="67">
        <v>1</v>
      </c>
      <c r="B880" s="199" t="s">
        <v>99</v>
      </c>
      <c r="C880" s="28" t="s">
        <v>144</v>
      </c>
      <c r="D880" s="28" t="str">
        <f>IF(G880&lt;&gt;"rumus","Semester","")</f>
        <v/>
      </c>
      <c r="E880" s="256" t="str">
        <f t="shared" ref="E880:E881" si="462">IF(I880&lt;&gt;"",1,"")</f>
        <v/>
      </c>
      <c r="F880" s="256" t="str">
        <f t="shared" ref="F880:F881" si="463">IF(I880&lt;&gt;"",J880,"")</f>
        <v/>
      </c>
      <c r="G880" s="159" t="str">
        <f t="shared" ref="G880:G881" si="464">IF(J880&lt;&gt;"rumus","1 x "&amp;J880&amp;" = "&amp;J880,"rumus")</f>
        <v>rumus</v>
      </c>
      <c r="H880" s="28" t="s">
        <v>109</v>
      </c>
      <c r="I880" s="131"/>
      <c r="J880" s="37" t="str">
        <f t="shared" ref="J880:J881" si="465">IF(I880="Mengembangkan program kuliah per semester",2,"rumus")</f>
        <v>rumus</v>
      </c>
      <c r="K880" s="261"/>
      <c r="L880" s="261"/>
      <c r="M880" s="35"/>
    </row>
    <row r="881" spans="1:13" hidden="1" x14ac:dyDescent="0.45">
      <c r="A881" s="67">
        <v>2</v>
      </c>
      <c r="B881" s="199" t="s">
        <v>99</v>
      </c>
      <c r="C881" s="28" t="s">
        <v>144</v>
      </c>
      <c r="D881" s="28" t="str">
        <f>IF(G881&lt;&gt;"rumus","Semester","")</f>
        <v/>
      </c>
      <c r="E881" s="256" t="str">
        <f t="shared" si="462"/>
        <v/>
      </c>
      <c r="F881" s="256" t="str">
        <f t="shared" si="463"/>
        <v/>
      </c>
      <c r="G881" s="159" t="str">
        <f t="shared" si="464"/>
        <v>rumus</v>
      </c>
      <c r="H881" s="39" t="s">
        <v>66</v>
      </c>
      <c r="I881" s="131"/>
      <c r="J881" s="37" t="str">
        <f t="shared" si="465"/>
        <v>rumus</v>
      </c>
      <c r="K881" s="261"/>
      <c r="L881" s="261"/>
      <c r="M881" s="35"/>
    </row>
    <row r="882" spans="1:13" ht="15" hidden="1" customHeight="1" x14ac:dyDescent="0.45">
      <c r="A882" s="67"/>
      <c r="B882" s="168" t="str">
        <f>"a. Semester Gasal "&amp;IF(C883&lt;&gt;"",C883,"")&amp;" :"</f>
        <v>a. Semester Gasal 2008/2009 :</v>
      </c>
      <c r="C882" s="57"/>
      <c r="D882" s="57"/>
      <c r="E882" s="57"/>
      <c r="F882" s="57"/>
      <c r="G882" s="57"/>
      <c r="H882" s="188"/>
      <c r="I882" s="35"/>
      <c r="J882" s="35"/>
      <c r="K882" s="261">
        <f>IF(SUM(J880:J881)&gt;=2,2,SUM(J880:J881))</f>
        <v>0</v>
      </c>
      <c r="L882" s="261" t="s">
        <v>283</v>
      </c>
      <c r="M882" s="35"/>
    </row>
    <row r="883" spans="1:13" s="140" customFormat="1" hidden="1" x14ac:dyDescent="0.45">
      <c r="A883" s="67">
        <v>1</v>
      </c>
      <c r="B883" s="199" t="s">
        <v>99</v>
      </c>
      <c r="C883" s="172" t="s">
        <v>145</v>
      </c>
      <c r="D883" s="28" t="str">
        <f>IF(G883&lt;&gt;"rumus","Semester","")</f>
        <v/>
      </c>
      <c r="E883" s="256" t="str">
        <f t="shared" ref="E883:E884" si="466">IF(I883&lt;&gt;"",1,"")</f>
        <v/>
      </c>
      <c r="F883" s="256" t="str">
        <f t="shared" ref="F883:F884" si="467">IF(I883&lt;&gt;"",J883,"")</f>
        <v/>
      </c>
      <c r="G883" s="159" t="str">
        <f t="shared" ref="G883:G884" si="468">IF(J883&lt;&gt;"rumus","1 x "&amp;J883&amp;" = "&amp;J883,"rumus")</f>
        <v>rumus</v>
      </c>
      <c r="H883" s="28" t="s">
        <v>109</v>
      </c>
      <c r="I883" s="131"/>
      <c r="J883" s="37" t="str">
        <f t="shared" ref="J883:J884" si="469">IF(I883="Mengembangkan program kuliah per semester",2,"rumus")</f>
        <v>rumus</v>
      </c>
      <c r="K883" s="263"/>
      <c r="L883" s="263"/>
      <c r="M883" s="175"/>
    </row>
    <row r="884" spans="1:13" s="140" customFormat="1" hidden="1" x14ac:dyDescent="0.45">
      <c r="A884" s="67">
        <v>2</v>
      </c>
      <c r="B884" s="199" t="s">
        <v>99</v>
      </c>
      <c r="C884" s="172" t="s">
        <v>145</v>
      </c>
      <c r="D884" s="28" t="str">
        <f>IF(G884&lt;&gt;"rumus","Semester","")</f>
        <v/>
      </c>
      <c r="E884" s="256" t="str">
        <f t="shared" si="466"/>
        <v/>
      </c>
      <c r="F884" s="256" t="str">
        <f t="shared" si="467"/>
        <v/>
      </c>
      <c r="G884" s="159" t="str">
        <f t="shared" si="468"/>
        <v>rumus</v>
      </c>
      <c r="H884" s="39" t="s">
        <v>66</v>
      </c>
      <c r="I884" s="131"/>
      <c r="J884" s="37" t="str">
        <f t="shared" si="469"/>
        <v>rumus</v>
      </c>
      <c r="K884" s="263"/>
      <c r="L884" s="263"/>
      <c r="M884" s="175"/>
    </row>
    <row r="885" spans="1:13" ht="15" hidden="1" customHeight="1" x14ac:dyDescent="0.45">
      <c r="A885" s="67"/>
      <c r="B885" s="168" t="str">
        <f>"a. Semester Gasal "&amp;IF(C886&lt;&gt;"",C886,"")&amp;" :"</f>
        <v>a. Semester Gasal 2009/2010 :</v>
      </c>
      <c r="C885" s="57"/>
      <c r="D885" s="57"/>
      <c r="E885" s="57"/>
      <c r="F885" s="57"/>
      <c r="G885" s="57"/>
      <c r="H885" s="188"/>
      <c r="I885" s="35"/>
      <c r="J885" s="35"/>
      <c r="K885" s="261">
        <f>IF(SUM(J883:J884)&gt;=2,2,SUM(J883:J884))</f>
        <v>0</v>
      </c>
      <c r="L885" s="261" t="s">
        <v>283</v>
      </c>
      <c r="M885" s="35"/>
    </row>
    <row r="886" spans="1:13" s="140" customFormat="1" hidden="1" x14ac:dyDescent="0.45">
      <c r="A886" s="67">
        <v>1</v>
      </c>
      <c r="B886" s="199" t="s">
        <v>99</v>
      </c>
      <c r="C886" s="172" t="s">
        <v>146</v>
      </c>
      <c r="D886" s="28" t="str">
        <f>IF(G886&lt;&gt;"rumus","Semester","")</f>
        <v/>
      </c>
      <c r="E886" s="256" t="str">
        <f t="shared" ref="E886:E887" si="470">IF(I886&lt;&gt;"",1,"")</f>
        <v/>
      </c>
      <c r="F886" s="256" t="str">
        <f t="shared" ref="F886:F887" si="471">IF(I886&lt;&gt;"",J886,"")</f>
        <v/>
      </c>
      <c r="G886" s="159" t="str">
        <f t="shared" ref="G886:G887" si="472">IF(J886&lt;&gt;"rumus","1 x "&amp;J886&amp;" = "&amp;J886,"rumus")</f>
        <v>rumus</v>
      </c>
      <c r="H886" s="28" t="s">
        <v>109</v>
      </c>
      <c r="I886" s="131"/>
      <c r="J886" s="37" t="str">
        <f t="shared" ref="J886:J887" si="473">IF(I886="Mengembangkan program kuliah per semester",2,"rumus")</f>
        <v>rumus</v>
      </c>
      <c r="K886" s="263"/>
      <c r="L886" s="261"/>
      <c r="M886" s="175"/>
    </row>
    <row r="887" spans="1:13" s="140" customFormat="1" hidden="1" x14ac:dyDescent="0.45">
      <c r="A887" s="67">
        <v>2</v>
      </c>
      <c r="B887" s="199" t="s">
        <v>99</v>
      </c>
      <c r="C887" s="172" t="s">
        <v>146</v>
      </c>
      <c r="D887" s="28" t="str">
        <f>IF(G887&lt;&gt;"rumus","Semester","")</f>
        <v/>
      </c>
      <c r="E887" s="256" t="str">
        <f t="shared" si="470"/>
        <v/>
      </c>
      <c r="F887" s="256" t="str">
        <f t="shared" si="471"/>
        <v/>
      </c>
      <c r="G887" s="159" t="str">
        <f t="shared" si="472"/>
        <v>rumus</v>
      </c>
      <c r="H887" s="39" t="s">
        <v>66</v>
      </c>
      <c r="I887" s="131"/>
      <c r="J887" s="37" t="str">
        <f t="shared" si="473"/>
        <v>rumus</v>
      </c>
      <c r="K887" s="263"/>
      <c r="L887" s="261"/>
      <c r="M887" s="175"/>
    </row>
    <row r="888" spans="1:13" ht="15" hidden="1" customHeight="1" x14ac:dyDescent="0.45">
      <c r="A888" s="67"/>
      <c r="B888" s="168" t="str">
        <f>"a. Semester Gasal "&amp;IF(C889&lt;&gt;"",C889,"")&amp;" :"</f>
        <v>a. Semester Gasal 2010/2011 :</v>
      </c>
      <c r="C888" s="57"/>
      <c r="D888" s="57"/>
      <c r="E888" s="57"/>
      <c r="F888" s="57"/>
      <c r="G888" s="57"/>
      <c r="H888" s="188"/>
      <c r="I888" s="35"/>
      <c r="J888" s="35"/>
      <c r="K888" s="261">
        <f>IF(SUM(J886:J887)&gt;=2,2,SUM(J886:J887))</f>
        <v>0</v>
      </c>
      <c r="L888" s="261" t="s">
        <v>283</v>
      </c>
      <c r="M888" s="35"/>
    </row>
    <row r="889" spans="1:13" hidden="1" x14ac:dyDescent="0.45">
      <c r="A889" s="67">
        <v>1</v>
      </c>
      <c r="B889" s="199" t="s">
        <v>99</v>
      </c>
      <c r="C889" s="28" t="s">
        <v>108</v>
      </c>
      <c r="D889" s="28" t="str">
        <f>IF(G889&lt;&gt;"rumus","Semester","")</f>
        <v/>
      </c>
      <c r="E889" s="256" t="str">
        <f t="shared" ref="E889:E890" si="474">IF(I889&lt;&gt;"",1,"")</f>
        <v/>
      </c>
      <c r="F889" s="256" t="str">
        <f t="shared" ref="F889:F890" si="475">IF(I889&lt;&gt;"",J889,"")</f>
        <v/>
      </c>
      <c r="G889" s="159" t="str">
        <f t="shared" ref="G889:G890" si="476">IF(J889&lt;&gt;"rumus","1 x "&amp;J889&amp;" = "&amp;J889,"rumus")</f>
        <v>rumus</v>
      </c>
      <c r="H889" s="28" t="s">
        <v>109</v>
      </c>
      <c r="I889" s="131"/>
      <c r="J889" s="37" t="str">
        <f t="shared" ref="J889:J890" si="477">IF(I889="Mengembangkan program kuliah per semester",2,"rumus")</f>
        <v>rumus</v>
      </c>
      <c r="K889" s="261"/>
      <c r="L889" s="261"/>
      <c r="M889" s="35"/>
    </row>
    <row r="890" spans="1:13" hidden="1" x14ac:dyDescent="0.45">
      <c r="A890" s="67">
        <v>2</v>
      </c>
      <c r="B890" s="199" t="s">
        <v>99</v>
      </c>
      <c r="C890" s="28" t="s">
        <v>108</v>
      </c>
      <c r="D890" s="28" t="str">
        <f>IF(G890&lt;&gt;"rumus","Semester","")</f>
        <v/>
      </c>
      <c r="E890" s="256" t="str">
        <f t="shared" si="474"/>
        <v/>
      </c>
      <c r="F890" s="256" t="str">
        <f t="shared" si="475"/>
        <v/>
      </c>
      <c r="G890" s="159" t="str">
        <f t="shared" si="476"/>
        <v>rumus</v>
      </c>
      <c r="H890" s="39" t="s">
        <v>66</v>
      </c>
      <c r="I890" s="131"/>
      <c r="J890" s="37" t="str">
        <f t="shared" si="477"/>
        <v>rumus</v>
      </c>
      <c r="K890" s="261"/>
      <c r="L890" s="261"/>
      <c r="M890" s="35"/>
    </row>
    <row r="891" spans="1:13" ht="15" hidden="1" customHeight="1" x14ac:dyDescent="0.45">
      <c r="A891" s="67"/>
      <c r="B891" s="168" t="str">
        <f>"a. Semester Gasal "&amp;IF(C892&lt;&gt;"",C892,"")&amp;" :"</f>
        <v>a. Semester Gasal 2011/2012 :</v>
      </c>
      <c r="C891" s="57"/>
      <c r="D891" s="57"/>
      <c r="E891" s="57"/>
      <c r="F891" s="57"/>
      <c r="G891" s="57"/>
      <c r="H891" s="188"/>
      <c r="I891" s="35"/>
      <c r="J891" s="35"/>
      <c r="K891" s="261">
        <f>IF(SUM(J889:J890)&gt;=2,2,SUM(J889:J890))</f>
        <v>0</v>
      </c>
      <c r="L891" s="261" t="s">
        <v>283</v>
      </c>
      <c r="M891" s="35"/>
    </row>
    <row r="892" spans="1:13" hidden="1" x14ac:dyDescent="0.45">
      <c r="A892" s="67">
        <v>1</v>
      </c>
      <c r="B892" s="199" t="s">
        <v>99</v>
      </c>
      <c r="C892" s="28" t="s">
        <v>112</v>
      </c>
      <c r="D892" s="28" t="str">
        <f>IF(G892&lt;&gt;"rumus","Semester","")</f>
        <v/>
      </c>
      <c r="E892" s="256" t="str">
        <f t="shared" ref="E892:E893" si="478">IF(I892&lt;&gt;"",1,"")</f>
        <v/>
      </c>
      <c r="F892" s="256" t="str">
        <f t="shared" ref="F892:F893" si="479">IF(I892&lt;&gt;"",J892,"")</f>
        <v/>
      </c>
      <c r="G892" s="159" t="str">
        <f t="shared" ref="G892:G893" si="480">IF(J892&lt;&gt;"rumus","1 x "&amp;J892&amp;" = "&amp;J892,"rumus")</f>
        <v>rumus</v>
      </c>
      <c r="H892" s="28" t="s">
        <v>109</v>
      </c>
      <c r="I892" s="131"/>
      <c r="J892" s="37" t="str">
        <f t="shared" ref="J892:J893" si="481">IF(I892="Mengembangkan program kuliah per semester",2,"rumus")</f>
        <v>rumus</v>
      </c>
      <c r="K892" s="261"/>
      <c r="L892" s="261"/>
      <c r="M892" s="35"/>
    </row>
    <row r="893" spans="1:13" hidden="1" x14ac:dyDescent="0.45">
      <c r="A893" s="67">
        <v>2</v>
      </c>
      <c r="B893" s="199" t="s">
        <v>99</v>
      </c>
      <c r="C893" s="28" t="s">
        <v>112</v>
      </c>
      <c r="D893" s="28" t="str">
        <f>IF(G893&lt;&gt;"rumus","Semester","")</f>
        <v/>
      </c>
      <c r="E893" s="256" t="str">
        <f t="shared" si="478"/>
        <v/>
      </c>
      <c r="F893" s="256" t="str">
        <f t="shared" si="479"/>
        <v/>
      </c>
      <c r="G893" s="159" t="str">
        <f t="shared" si="480"/>
        <v>rumus</v>
      </c>
      <c r="H893" s="39" t="s">
        <v>66</v>
      </c>
      <c r="I893" s="131"/>
      <c r="J893" s="37" t="str">
        <f t="shared" si="481"/>
        <v>rumus</v>
      </c>
      <c r="K893" s="261"/>
      <c r="L893" s="261"/>
      <c r="M893" s="35"/>
    </row>
    <row r="894" spans="1:13" ht="15" hidden="1" customHeight="1" x14ac:dyDescent="0.45">
      <c r="A894" s="67"/>
      <c r="B894" s="168" t="str">
        <f>"a. Semester Gasal "&amp;IF(C895&lt;&gt;"",C895,"")&amp;" :"</f>
        <v>a. Semester Gasal 2012/2013 :</v>
      </c>
      <c r="C894" s="57"/>
      <c r="D894" s="57"/>
      <c r="E894" s="57"/>
      <c r="F894" s="57"/>
      <c r="G894" s="57"/>
      <c r="H894" s="188"/>
      <c r="I894" s="35"/>
      <c r="J894" s="35"/>
      <c r="K894" s="261">
        <f>IF(SUM(J892:J893)&gt;=2,2,SUM(J892:J893))</f>
        <v>0</v>
      </c>
      <c r="L894" s="261" t="s">
        <v>283</v>
      </c>
      <c r="M894" s="35"/>
    </row>
    <row r="895" spans="1:13" hidden="1" x14ac:dyDescent="0.45">
      <c r="A895" s="67">
        <v>1</v>
      </c>
      <c r="B895" s="199" t="s">
        <v>99</v>
      </c>
      <c r="C895" s="28" t="s">
        <v>113</v>
      </c>
      <c r="D895" s="28" t="str">
        <f>IF(G895&lt;&gt;"rumus","Semester","")</f>
        <v/>
      </c>
      <c r="E895" s="256" t="str">
        <f t="shared" ref="E895:E896" si="482">IF(I895&lt;&gt;"",1,"")</f>
        <v/>
      </c>
      <c r="F895" s="256" t="str">
        <f t="shared" ref="F895:F896" si="483">IF(I895&lt;&gt;"",J895,"")</f>
        <v/>
      </c>
      <c r="G895" s="159" t="str">
        <f t="shared" ref="G895:G896" si="484">IF(J895&lt;&gt;"rumus","1 x "&amp;J895&amp;" = "&amp;J895,"rumus")</f>
        <v>rumus</v>
      </c>
      <c r="H895" s="28" t="s">
        <v>109</v>
      </c>
      <c r="I895" s="131"/>
      <c r="J895" s="37" t="str">
        <f t="shared" ref="J895:J896" si="485">IF(I895="Mengembangkan program kuliah per semester",2,"rumus")</f>
        <v>rumus</v>
      </c>
      <c r="K895" s="261"/>
      <c r="L895" s="261"/>
      <c r="M895" s="35"/>
    </row>
    <row r="896" spans="1:13" hidden="1" x14ac:dyDescent="0.45">
      <c r="A896" s="67">
        <v>2</v>
      </c>
      <c r="B896" s="199" t="s">
        <v>99</v>
      </c>
      <c r="C896" s="28" t="s">
        <v>113</v>
      </c>
      <c r="D896" s="28" t="str">
        <f>IF(G896&lt;&gt;"rumus","Semester","")</f>
        <v/>
      </c>
      <c r="E896" s="256" t="str">
        <f t="shared" si="482"/>
        <v/>
      </c>
      <c r="F896" s="256" t="str">
        <f t="shared" si="483"/>
        <v/>
      </c>
      <c r="G896" s="159" t="str">
        <f t="shared" si="484"/>
        <v>rumus</v>
      </c>
      <c r="H896" s="39" t="s">
        <v>66</v>
      </c>
      <c r="I896" s="131"/>
      <c r="J896" s="37" t="str">
        <f t="shared" si="485"/>
        <v>rumus</v>
      </c>
      <c r="K896" s="261"/>
      <c r="L896" s="261"/>
      <c r="M896" s="35"/>
    </row>
    <row r="897" spans="1:13" ht="15" hidden="1" customHeight="1" x14ac:dyDescent="0.45">
      <c r="A897" s="67"/>
      <c r="B897" s="168" t="str">
        <f>"a. Semester Gasal "&amp;IF(C898&lt;&gt;"",C898,"")&amp;" :"</f>
        <v>a. Semester Gasal 2013/2014 :</v>
      </c>
      <c r="C897" s="57"/>
      <c r="D897" s="57"/>
      <c r="E897" s="57"/>
      <c r="F897" s="57"/>
      <c r="G897" s="57"/>
      <c r="H897" s="188"/>
      <c r="I897" s="35"/>
      <c r="J897" s="35"/>
      <c r="K897" s="261">
        <f>IF(SUM(J895:J896)&gt;=2,2,SUM(J895:J896))</f>
        <v>0</v>
      </c>
      <c r="L897" s="261" t="s">
        <v>283</v>
      </c>
      <c r="M897" s="35"/>
    </row>
    <row r="898" spans="1:13" hidden="1" x14ac:dyDescent="0.45">
      <c r="A898" s="67">
        <v>1</v>
      </c>
      <c r="B898" s="199" t="s">
        <v>99</v>
      </c>
      <c r="C898" s="28" t="s">
        <v>114</v>
      </c>
      <c r="D898" s="28" t="str">
        <f>IF(G898&lt;&gt;"rumus","Semester","")</f>
        <v/>
      </c>
      <c r="E898" s="256" t="str">
        <f t="shared" ref="E898:E899" si="486">IF(I898&lt;&gt;"",1,"")</f>
        <v/>
      </c>
      <c r="F898" s="256" t="str">
        <f t="shared" ref="F898:F899" si="487">IF(I898&lt;&gt;"",J898,"")</f>
        <v/>
      </c>
      <c r="G898" s="159" t="str">
        <f t="shared" ref="G898:G899" si="488">IF(J898&lt;&gt;"rumus","1 x "&amp;J898&amp;" = "&amp;J898,"rumus")</f>
        <v>rumus</v>
      </c>
      <c r="H898" s="28" t="s">
        <v>109</v>
      </c>
      <c r="I898" s="131"/>
      <c r="J898" s="37" t="str">
        <f t="shared" ref="J898:J899" si="489">IF(I898="Mengembangkan program kuliah per semester",2,"rumus")</f>
        <v>rumus</v>
      </c>
      <c r="K898" s="261"/>
      <c r="L898" s="261"/>
      <c r="M898" s="35"/>
    </row>
    <row r="899" spans="1:13" hidden="1" x14ac:dyDescent="0.45">
      <c r="A899" s="67">
        <v>2</v>
      </c>
      <c r="B899" s="199" t="s">
        <v>99</v>
      </c>
      <c r="C899" s="28" t="s">
        <v>114</v>
      </c>
      <c r="D899" s="28" t="str">
        <f>IF(G899&lt;&gt;"rumus","Semester","")</f>
        <v/>
      </c>
      <c r="E899" s="256" t="str">
        <f t="shared" si="486"/>
        <v/>
      </c>
      <c r="F899" s="256" t="str">
        <f t="shared" si="487"/>
        <v/>
      </c>
      <c r="G899" s="159" t="str">
        <f t="shared" si="488"/>
        <v>rumus</v>
      </c>
      <c r="H899" s="39" t="s">
        <v>66</v>
      </c>
      <c r="I899" s="131"/>
      <c r="J899" s="37" t="str">
        <f t="shared" si="489"/>
        <v>rumus</v>
      </c>
      <c r="K899" s="261"/>
      <c r="L899" s="261"/>
      <c r="M899" s="35"/>
    </row>
    <row r="900" spans="1:13" ht="15" hidden="1" customHeight="1" x14ac:dyDescent="0.45">
      <c r="A900" s="67"/>
      <c r="B900" s="168" t="str">
        <f>"a. Semester Gasal "&amp;IF(C901&lt;&gt;"",C901,"")&amp;" :"</f>
        <v>a. Semester Gasal 2014/2015 :</v>
      </c>
      <c r="C900" s="57"/>
      <c r="D900" s="57"/>
      <c r="E900" s="57"/>
      <c r="F900" s="57"/>
      <c r="G900" s="57"/>
      <c r="H900" s="188"/>
      <c r="I900" s="35"/>
      <c r="J900" s="35"/>
      <c r="K900" s="261">
        <f>IF(SUM(J898:J899)&gt;=2,2,SUM(J898:J899))</f>
        <v>0</v>
      </c>
      <c r="L900" s="261" t="s">
        <v>283</v>
      </c>
      <c r="M900" s="35"/>
    </row>
    <row r="901" spans="1:13" hidden="1" x14ac:dyDescent="0.45">
      <c r="A901" s="67">
        <v>1</v>
      </c>
      <c r="B901" s="199" t="s">
        <v>99</v>
      </c>
      <c r="C901" s="28" t="s">
        <v>251</v>
      </c>
      <c r="D901" s="28" t="str">
        <f>IF(G901&lt;&gt;"rumus","Semester","")</f>
        <v/>
      </c>
      <c r="E901" s="256" t="str">
        <f t="shared" ref="E901:E902" si="490">IF(I901&lt;&gt;"",1,"")</f>
        <v/>
      </c>
      <c r="F901" s="256" t="str">
        <f t="shared" ref="F901:F902" si="491">IF(I901&lt;&gt;"",J901,"")</f>
        <v/>
      </c>
      <c r="G901" s="159" t="str">
        <f t="shared" ref="G901:G902" si="492">IF(J901&lt;&gt;"rumus","1 x "&amp;J901&amp;" = "&amp;J901,"rumus")</f>
        <v>rumus</v>
      </c>
      <c r="H901" s="28" t="s">
        <v>109</v>
      </c>
      <c r="I901" s="131"/>
      <c r="J901" s="37" t="str">
        <f t="shared" ref="J901:J902" si="493">IF(I901="Mengembangkan program kuliah per semester",2,"rumus")</f>
        <v>rumus</v>
      </c>
      <c r="K901" s="261"/>
      <c r="L901" s="261"/>
      <c r="M901" s="35"/>
    </row>
    <row r="902" spans="1:13" hidden="1" x14ac:dyDescent="0.45">
      <c r="A902" s="67">
        <v>2</v>
      </c>
      <c r="B902" s="199" t="s">
        <v>99</v>
      </c>
      <c r="C902" s="28" t="s">
        <v>251</v>
      </c>
      <c r="D902" s="28" t="str">
        <f>IF(G902&lt;&gt;"rumus","Semester","")</f>
        <v/>
      </c>
      <c r="E902" s="256" t="str">
        <f t="shared" si="490"/>
        <v/>
      </c>
      <c r="F902" s="256" t="str">
        <f t="shared" si="491"/>
        <v/>
      </c>
      <c r="G902" s="159" t="str">
        <f t="shared" si="492"/>
        <v>rumus</v>
      </c>
      <c r="H902" s="39" t="s">
        <v>66</v>
      </c>
      <c r="I902" s="131"/>
      <c r="J902" s="37" t="str">
        <f t="shared" si="493"/>
        <v>rumus</v>
      </c>
      <c r="K902" s="261"/>
      <c r="L902" s="261"/>
      <c r="M902" s="35"/>
    </row>
    <row r="903" spans="1:13" ht="15" hidden="1" customHeight="1" x14ac:dyDescent="0.45">
      <c r="A903" s="67"/>
      <c r="B903" s="168" t="str">
        <f>"a. Semester Gasal "&amp;IF(C904&lt;&gt;"",C904,"")&amp;" :"</f>
        <v>a. Semester Gasal 2015/2016 :</v>
      </c>
      <c r="C903" s="57"/>
      <c r="D903" s="57"/>
      <c r="E903" s="57"/>
      <c r="F903" s="57"/>
      <c r="G903" s="57"/>
      <c r="H903" s="188"/>
      <c r="I903" s="35"/>
      <c r="J903" s="35"/>
      <c r="K903" s="261">
        <f>IF(SUM(J901:J902)&gt;=2,2,SUM(J901:J902))</f>
        <v>0</v>
      </c>
      <c r="L903" s="261" t="s">
        <v>283</v>
      </c>
      <c r="M903" s="35"/>
    </row>
    <row r="904" spans="1:13" hidden="1" x14ac:dyDescent="0.45">
      <c r="A904" s="67">
        <v>1</v>
      </c>
      <c r="B904" s="199" t="s">
        <v>99</v>
      </c>
      <c r="C904" s="28" t="s">
        <v>252</v>
      </c>
      <c r="D904" s="28" t="str">
        <f>IF(G904&lt;&gt;"rumus","Semester","")</f>
        <v/>
      </c>
      <c r="E904" s="256" t="str">
        <f t="shared" ref="E904:E905" si="494">IF(I904&lt;&gt;"",1,"")</f>
        <v/>
      </c>
      <c r="F904" s="256" t="str">
        <f t="shared" ref="F904:F905" si="495">IF(I904&lt;&gt;"",J904,"")</f>
        <v/>
      </c>
      <c r="G904" s="159" t="str">
        <f t="shared" ref="G904:G905" si="496">IF(J904&lt;&gt;"rumus","1 x "&amp;J904&amp;" = "&amp;J904,"rumus")</f>
        <v>rumus</v>
      </c>
      <c r="H904" s="28" t="s">
        <v>109</v>
      </c>
      <c r="I904" s="131"/>
      <c r="J904" s="37" t="str">
        <f t="shared" ref="J904:J905" si="497">IF(I904="Mengembangkan program kuliah per semester",2,"rumus")</f>
        <v>rumus</v>
      </c>
      <c r="K904" s="261"/>
      <c r="L904" s="261"/>
      <c r="M904" s="35"/>
    </row>
    <row r="905" spans="1:13" hidden="1" x14ac:dyDescent="0.45">
      <c r="A905" s="67">
        <v>2</v>
      </c>
      <c r="B905" s="199" t="s">
        <v>99</v>
      </c>
      <c r="C905" s="28" t="s">
        <v>252</v>
      </c>
      <c r="D905" s="28" t="str">
        <f>IF(G905&lt;&gt;"rumus","Semester","")</f>
        <v/>
      </c>
      <c r="E905" s="256" t="str">
        <f t="shared" si="494"/>
        <v/>
      </c>
      <c r="F905" s="256" t="str">
        <f t="shared" si="495"/>
        <v/>
      </c>
      <c r="G905" s="159" t="str">
        <f t="shared" si="496"/>
        <v>rumus</v>
      </c>
      <c r="H905" s="39" t="s">
        <v>66</v>
      </c>
      <c r="I905" s="131"/>
      <c r="J905" s="37" t="str">
        <f t="shared" si="497"/>
        <v>rumus</v>
      </c>
      <c r="K905" s="261"/>
      <c r="L905" s="261"/>
      <c r="M905" s="35"/>
    </row>
    <row r="906" spans="1:13" ht="15" hidden="1" customHeight="1" x14ac:dyDescent="0.45">
      <c r="A906" s="67"/>
      <c r="B906" s="168" t="str">
        <f>"a. Semester Genap "&amp;IF(C907&lt;&gt;"",C907,"")&amp;" :"</f>
        <v>a. Semester Genap 2004/2005 :</v>
      </c>
      <c r="C906" s="57"/>
      <c r="D906" s="57"/>
      <c r="E906" s="57"/>
      <c r="F906" s="57"/>
      <c r="G906" s="57"/>
      <c r="H906" s="188"/>
      <c r="I906" s="35"/>
      <c r="J906" s="35"/>
      <c r="K906" s="261">
        <f>IF(SUM(J904:J905)&gt;=2,2,SUM(J904:J905))</f>
        <v>0</v>
      </c>
      <c r="L906" s="261" t="s">
        <v>283</v>
      </c>
      <c r="M906" s="35"/>
    </row>
    <row r="907" spans="1:13" hidden="1" x14ac:dyDescent="0.45">
      <c r="A907" s="67">
        <v>1</v>
      </c>
      <c r="B907" s="199" t="s">
        <v>99</v>
      </c>
      <c r="C907" s="28" t="s">
        <v>141</v>
      </c>
      <c r="D907" s="28" t="str">
        <f>IF(G907&lt;&gt;"rumus","Semester","")</f>
        <v/>
      </c>
      <c r="E907" s="256" t="str">
        <f t="shared" ref="E907:E908" si="498">IF(I907&lt;&gt;"",1,"")</f>
        <v/>
      </c>
      <c r="F907" s="256" t="str">
        <f t="shared" ref="F907:F908" si="499">IF(I907&lt;&gt;"",J907,"")</f>
        <v/>
      </c>
      <c r="G907" s="159" t="str">
        <f t="shared" ref="G907:G908" si="500">IF(J907&lt;&gt;"rumus","1 x "&amp;J907&amp;" = "&amp;J907,"rumus")</f>
        <v>rumus</v>
      </c>
      <c r="H907" s="28" t="s">
        <v>109</v>
      </c>
      <c r="I907" s="131"/>
      <c r="J907" s="37" t="str">
        <f t="shared" ref="J907:J908" si="501">IF(I907="Mengembangkan program kuliah per semester",2,"rumus")</f>
        <v>rumus</v>
      </c>
      <c r="K907" s="261"/>
      <c r="L907" s="261"/>
      <c r="M907" s="35"/>
    </row>
    <row r="908" spans="1:13" hidden="1" x14ac:dyDescent="0.45">
      <c r="A908" s="67">
        <v>2</v>
      </c>
      <c r="B908" s="199" t="s">
        <v>99</v>
      </c>
      <c r="C908" s="28" t="s">
        <v>141</v>
      </c>
      <c r="D908" s="28" t="str">
        <f>IF(G908&lt;&gt;"rumus","Semester","")</f>
        <v/>
      </c>
      <c r="E908" s="256" t="str">
        <f t="shared" si="498"/>
        <v/>
      </c>
      <c r="F908" s="256" t="str">
        <f t="shared" si="499"/>
        <v/>
      </c>
      <c r="G908" s="159" t="str">
        <f t="shared" si="500"/>
        <v>rumus</v>
      </c>
      <c r="H908" s="39" t="s">
        <v>66</v>
      </c>
      <c r="I908" s="131"/>
      <c r="J908" s="37" t="str">
        <f t="shared" si="501"/>
        <v>rumus</v>
      </c>
      <c r="K908" s="261"/>
      <c r="L908" s="261"/>
      <c r="M908" s="35"/>
    </row>
    <row r="909" spans="1:13" ht="15" hidden="1" customHeight="1" x14ac:dyDescent="0.45">
      <c r="A909" s="67"/>
      <c r="B909" s="168" t="str">
        <f>"a. Semester Genap "&amp;IF(C910&lt;&gt;"",C910,"")&amp;" :"</f>
        <v>a. Semester Genap 2005/2006 :</v>
      </c>
      <c r="C909" s="57"/>
      <c r="D909" s="57"/>
      <c r="E909" s="57"/>
      <c r="F909" s="57"/>
      <c r="G909" s="57"/>
      <c r="H909" s="188"/>
      <c r="I909" s="35"/>
      <c r="J909" s="35"/>
      <c r="K909" s="261">
        <f>IF(SUM(J907:J908)&gt;=2,2,SUM(J907:J908))</f>
        <v>0</v>
      </c>
      <c r="L909" s="261" t="s">
        <v>283</v>
      </c>
      <c r="M909" s="35"/>
    </row>
    <row r="910" spans="1:13" hidden="1" x14ac:dyDescent="0.45">
      <c r="A910" s="67">
        <v>1</v>
      </c>
      <c r="B910" s="199" t="s">
        <v>99</v>
      </c>
      <c r="C910" s="28" t="s">
        <v>142</v>
      </c>
      <c r="D910" s="28" t="str">
        <f>IF(G910&lt;&gt;"rumus","Semester","")</f>
        <v/>
      </c>
      <c r="E910" s="256" t="str">
        <f t="shared" ref="E910:E911" si="502">IF(I910&lt;&gt;"",1,"")</f>
        <v/>
      </c>
      <c r="F910" s="256" t="str">
        <f t="shared" ref="F910:F911" si="503">IF(I910&lt;&gt;"",J910,"")</f>
        <v/>
      </c>
      <c r="G910" s="159" t="str">
        <f t="shared" ref="G910:G911" si="504">IF(J910&lt;&gt;"rumus","1 x "&amp;J910&amp;" = "&amp;J910,"rumus")</f>
        <v>rumus</v>
      </c>
      <c r="H910" s="28" t="s">
        <v>109</v>
      </c>
      <c r="I910" s="131"/>
      <c r="J910" s="37" t="str">
        <f t="shared" ref="J910:J911" si="505">IF(I910="Mengembangkan program kuliah per semester",2,"rumus")</f>
        <v>rumus</v>
      </c>
      <c r="K910" s="261"/>
      <c r="L910" s="261"/>
      <c r="M910" s="35"/>
    </row>
    <row r="911" spans="1:13" hidden="1" x14ac:dyDescent="0.45">
      <c r="A911" s="67">
        <v>2</v>
      </c>
      <c r="B911" s="199" t="s">
        <v>99</v>
      </c>
      <c r="C911" s="28" t="s">
        <v>142</v>
      </c>
      <c r="D911" s="28" t="str">
        <f>IF(G911&lt;&gt;"rumus","Semester","")</f>
        <v/>
      </c>
      <c r="E911" s="256" t="str">
        <f t="shared" si="502"/>
        <v/>
      </c>
      <c r="F911" s="256" t="str">
        <f t="shared" si="503"/>
        <v/>
      </c>
      <c r="G911" s="159" t="str">
        <f t="shared" si="504"/>
        <v>rumus</v>
      </c>
      <c r="H911" s="39" t="s">
        <v>66</v>
      </c>
      <c r="I911" s="131"/>
      <c r="J911" s="37" t="str">
        <f t="shared" si="505"/>
        <v>rumus</v>
      </c>
      <c r="K911" s="261"/>
      <c r="L911" s="261"/>
      <c r="M911" s="35"/>
    </row>
    <row r="912" spans="1:13" ht="15" hidden="1" customHeight="1" x14ac:dyDescent="0.45">
      <c r="A912" s="67"/>
      <c r="B912" s="168" t="str">
        <f>"a. Semester Genap "&amp;IF(C913&lt;&gt;"",C913,"")&amp;" :"</f>
        <v>a. Semester Genap 2006/2007 :</v>
      </c>
      <c r="C912" s="57"/>
      <c r="D912" s="57"/>
      <c r="E912" s="57"/>
      <c r="F912" s="57"/>
      <c r="G912" s="57"/>
      <c r="H912" s="188"/>
      <c r="I912" s="35"/>
      <c r="J912" s="35"/>
      <c r="K912" s="261">
        <f>IF(SUM(J910:J911)&gt;=2,2,SUM(J910:J911))</f>
        <v>0</v>
      </c>
      <c r="L912" s="261" t="s">
        <v>283</v>
      </c>
      <c r="M912" s="35"/>
    </row>
    <row r="913" spans="1:13" s="140" customFormat="1" hidden="1" x14ac:dyDescent="0.45">
      <c r="A913" s="67">
        <v>1</v>
      </c>
      <c r="B913" s="199" t="s">
        <v>99</v>
      </c>
      <c r="C913" s="172" t="s">
        <v>143</v>
      </c>
      <c r="D913" s="28" t="str">
        <f>IF(G913&lt;&gt;"rumus","Semester","")</f>
        <v/>
      </c>
      <c r="E913" s="256" t="str">
        <f t="shared" ref="E913:E914" si="506">IF(I913&lt;&gt;"",1,"")</f>
        <v/>
      </c>
      <c r="F913" s="256" t="str">
        <f t="shared" ref="F913:F914" si="507">IF(I913&lt;&gt;"",J913,"")</f>
        <v/>
      </c>
      <c r="G913" s="159" t="str">
        <f t="shared" ref="G913:G914" si="508">IF(J913&lt;&gt;"rumus","1 x "&amp;J913&amp;" = "&amp;J913,"rumus")</f>
        <v>rumus</v>
      </c>
      <c r="H913" s="28" t="s">
        <v>109</v>
      </c>
      <c r="I913" s="131"/>
      <c r="J913" s="37" t="str">
        <f t="shared" ref="J913:J914" si="509">IF(I913="Mengembangkan program kuliah per semester",2,"rumus")</f>
        <v>rumus</v>
      </c>
      <c r="K913" s="263"/>
      <c r="L913" s="263"/>
      <c r="M913" s="175"/>
    </row>
    <row r="914" spans="1:13" s="140" customFormat="1" hidden="1" x14ac:dyDescent="0.45">
      <c r="A914" s="67">
        <v>2</v>
      </c>
      <c r="B914" s="199" t="s">
        <v>99</v>
      </c>
      <c r="C914" s="172" t="s">
        <v>143</v>
      </c>
      <c r="D914" s="28" t="str">
        <f>IF(G914&lt;&gt;"rumus","Semester","")</f>
        <v/>
      </c>
      <c r="E914" s="256" t="str">
        <f t="shared" si="506"/>
        <v/>
      </c>
      <c r="F914" s="256" t="str">
        <f t="shared" si="507"/>
        <v/>
      </c>
      <c r="G914" s="159" t="str">
        <f t="shared" si="508"/>
        <v>rumus</v>
      </c>
      <c r="H914" s="39" t="s">
        <v>66</v>
      </c>
      <c r="I914" s="131"/>
      <c r="J914" s="37" t="str">
        <f t="shared" si="509"/>
        <v>rumus</v>
      </c>
      <c r="K914" s="263"/>
      <c r="L914" s="263"/>
      <c r="M914" s="175"/>
    </row>
    <row r="915" spans="1:13" ht="15" hidden="1" customHeight="1" x14ac:dyDescent="0.45">
      <c r="A915" s="67"/>
      <c r="B915" s="168" t="str">
        <f>"a. Semester Genap "&amp;IF(C916&lt;&gt;"",C916,"")&amp;" :"</f>
        <v>a. Semester Genap 2007/2008 :</v>
      </c>
      <c r="C915" s="57"/>
      <c r="D915" s="57"/>
      <c r="E915" s="57"/>
      <c r="F915" s="57"/>
      <c r="G915" s="57"/>
      <c r="H915" s="188"/>
      <c r="I915" s="35"/>
      <c r="J915" s="35"/>
      <c r="K915" s="261">
        <f>IF(SUM(J913:J914)&gt;=2,2,SUM(J913:J914))</f>
        <v>0</v>
      </c>
      <c r="L915" s="261" t="s">
        <v>283</v>
      </c>
      <c r="M915" s="35"/>
    </row>
    <row r="916" spans="1:13" hidden="1" x14ac:dyDescent="0.45">
      <c r="A916" s="67">
        <v>1</v>
      </c>
      <c r="B916" s="199" t="s">
        <v>99</v>
      </c>
      <c r="C916" s="28" t="s">
        <v>144</v>
      </c>
      <c r="D916" s="28" t="str">
        <f>IF(G916&lt;&gt;"rumus","Semester","")</f>
        <v/>
      </c>
      <c r="E916" s="256" t="str">
        <f t="shared" ref="E916:E917" si="510">IF(I916&lt;&gt;"",1,"")</f>
        <v/>
      </c>
      <c r="F916" s="256" t="str">
        <f t="shared" ref="F916:F917" si="511">IF(I916&lt;&gt;"",J916,"")</f>
        <v/>
      </c>
      <c r="G916" s="159" t="str">
        <f t="shared" ref="G916:G917" si="512">IF(J916&lt;&gt;"rumus","1 x "&amp;J916&amp;" = "&amp;J916,"rumus")</f>
        <v>rumus</v>
      </c>
      <c r="H916" s="28" t="s">
        <v>109</v>
      </c>
      <c r="I916" s="131"/>
      <c r="J916" s="37" t="str">
        <f t="shared" ref="J916:J917" si="513">IF(I916="Mengembangkan program kuliah per semester",2,"rumus")</f>
        <v>rumus</v>
      </c>
      <c r="K916" s="261"/>
      <c r="L916" s="261"/>
      <c r="M916" s="35"/>
    </row>
    <row r="917" spans="1:13" hidden="1" x14ac:dyDescent="0.45">
      <c r="A917" s="67">
        <v>2</v>
      </c>
      <c r="B917" s="199" t="s">
        <v>99</v>
      </c>
      <c r="C917" s="28" t="s">
        <v>144</v>
      </c>
      <c r="D917" s="28" t="str">
        <f>IF(G917&lt;&gt;"rumus","Semester","")</f>
        <v/>
      </c>
      <c r="E917" s="256" t="str">
        <f t="shared" si="510"/>
        <v/>
      </c>
      <c r="F917" s="256" t="str">
        <f t="shared" si="511"/>
        <v/>
      </c>
      <c r="G917" s="159" t="str">
        <f t="shared" si="512"/>
        <v>rumus</v>
      </c>
      <c r="H917" s="39" t="s">
        <v>66</v>
      </c>
      <c r="I917" s="131"/>
      <c r="J917" s="37" t="str">
        <f t="shared" si="513"/>
        <v>rumus</v>
      </c>
      <c r="K917" s="261"/>
      <c r="L917" s="261"/>
      <c r="M917" s="35"/>
    </row>
    <row r="918" spans="1:13" ht="15" hidden="1" customHeight="1" x14ac:dyDescent="0.45">
      <c r="A918" s="67"/>
      <c r="B918" s="168" t="str">
        <f>"a. Semester Genap "&amp;IF(C919&lt;&gt;"",C919,"")&amp;" :"</f>
        <v>a. Semester Genap 2008/2009 :</v>
      </c>
      <c r="C918" s="57"/>
      <c r="D918" s="57"/>
      <c r="E918" s="57"/>
      <c r="F918" s="57"/>
      <c r="G918" s="57"/>
      <c r="H918" s="188"/>
      <c r="I918" s="35"/>
      <c r="J918" s="35"/>
      <c r="K918" s="261">
        <f>IF(SUM(J916:J917)&gt;=2,2,SUM(J916:J917))</f>
        <v>0</v>
      </c>
      <c r="L918" s="261" t="s">
        <v>283</v>
      </c>
      <c r="M918" s="35"/>
    </row>
    <row r="919" spans="1:13" s="140" customFormat="1" hidden="1" x14ac:dyDescent="0.45">
      <c r="A919" s="67">
        <v>1</v>
      </c>
      <c r="B919" s="199" t="s">
        <v>99</v>
      </c>
      <c r="C919" s="172" t="s">
        <v>145</v>
      </c>
      <c r="D919" s="28" t="str">
        <f>IF(G919&lt;&gt;"rumus","Semester","")</f>
        <v/>
      </c>
      <c r="E919" s="256" t="str">
        <f t="shared" ref="E919:E920" si="514">IF(I919&lt;&gt;"",1,"")</f>
        <v/>
      </c>
      <c r="F919" s="256" t="str">
        <f t="shared" ref="F919:F920" si="515">IF(I919&lt;&gt;"",J919,"")</f>
        <v/>
      </c>
      <c r="G919" s="159" t="str">
        <f t="shared" ref="G919:G920" si="516">IF(J919&lt;&gt;"rumus","1 x "&amp;J919&amp;" = "&amp;J919,"rumus")</f>
        <v>rumus</v>
      </c>
      <c r="H919" s="28" t="s">
        <v>109</v>
      </c>
      <c r="I919" s="131"/>
      <c r="J919" s="37" t="str">
        <f t="shared" ref="J919:J920" si="517">IF(I919="Mengembangkan program kuliah per semester",2,"rumus")</f>
        <v>rumus</v>
      </c>
      <c r="K919" s="263"/>
      <c r="L919" s="263"/>
      <c r="M919" s="175"/>
    </row>
    <row r="920" spans="1:13" s="140" customFormat="1" hidden="1" x14ac:dyDescent="0.45">
      <c r="A920" s="67">
        <v>2</v>
      </c>
      <c r="B920" s="199" t="s">
        <v>99</v>
      </c>
      <c r="C920" s="172" t="s">
        <v>145</v>
      </c>
      <c r="D920" s="28" t="str">
        <f>IF(G920&lt;&gt;"rumus","Semester","")</f>
        <v/>
      </c>
      <c r="E920" s="256" t="str">
        <f t="shared" si="514"/>
        <v/>
      </c>
      <c r="F920" s="256" t="str">
        <f t="shared" si="515"/>
        <v/>
      </c>
      <c r="G920" s="159" t="str">
        <f t="shared" si="516"/>
        <v>rumus</v>
      </c>
      <c r="H920" s="39" t="s">
        <v>66</v>
      </c>
      <c r="I920" s="131"/>
      <c r="J920" s="37" t="str">
        <f t="shared" si="517"/>
        <v>rumus</v>
      </c>
      <c r="K920" s="263"/>
      <c r="L920" s="263"/>
      <c r="M920" s="175"/>
    </row>
    <row r="921" spans="1:13" ht="15" hidden="1" customHeight="1" x14ac:dyDescent="0.45">
      <c r="A921" s="67"/>
      <c r="B921" s="168" t="str">
        <f>"a. Semester Genap "&amp;IF(C922&lt;&gt;"",C922,"")&amp;" :"</f>
        <v>a. Semester Genap 2009/2010 :</v>
      </c>
      <c r="C921" s="57"/>
      <c r="D921" s="57"/>
      <c r="E921" s="57"/>
      <c r="F921" s="57"/>
      <c r="G921" s="57"/>
      <c r="H921" s="188"/>
      <c r="I921" s="35"/>
      <c r="J921" s="35"/>
      <c r="K921" s="261">
        <f>IF(SUM(J919:J920)&gt;=2,2,SUM(J919:J920))</f>
        <v>0</v>
      </c>
      <c r="L921" s="261" t="s">
        <v>283</v>
      </c>
      <c r="M921" s="35"/>
    </row>
    <row r="922" spans="1:13" s="140" customFormat="1" hidden="1" x14ac:dyDescent="0.45">
      <c r="A922" s="67">
        <v>1</v>
      </c>
      <c r="B922" s="199" t="s">
        <v>99</v>
      </c>
      <c r="C922" s="172" t="s">
        <v>146</v>
      </c>
      <c r="D922" s="28" t="str">
        <f>IF(G922&lt;&gt;"rumus","Semester","")</f>
        <v/>
      </c>
      <c r="E922" s="256" t="str">
        <f t="shared" ref="E922:E923" si="518">IF(I922&lt;&gt;"",1,"")</f>
        <v/>
      </c>
      <c r="F922" s="256" t="str">
        <f t="shared" ref="F922:F923" si="519">IF(I922&lt;&gt;"",J922,"")</f>
        <v/>
      </c>
      <c r="G922" s="159" t="str">
        <f t="shared" ref="G922:G923" si="520">IF(J922&lt;&gt;"rumus","1 x "&amp;J922&amp;" = "&amp;J922,"rumus")</f>
        <v>rumus</v>
      </c>
      <c r="H922" s="28" t="s">
        <v>109</v>
      </c>
      <c r="I922" s="131"/>
      <c r="J922" s="37" t="str">
        <f t="shared" ref="J922:J923" si="521">IF(I922="Mengembangkan program kuliah per semester",2,"rumus")</f>
        <v>rumus</v>
      </c>
      <c r="K922" s="263"/>
      <c r="L922" s="261"/>
      <c r="M922" s="175"/>
    </row>
    <row r="923" spans="1:13" s="140" customFormat="1" hidden="1" x14ac:dyDescent="0.45">
      <c r="A923" s="67">
        <v>2</v>
      </c>
      <c r="B923" s="199" t="s">
        <v>99</v>
      </c>
      <c r="C923" s="172" t="s">
        <v>146</v>
      </c>
      <c r="D923" s="28" t="str">
        <f>IF(G923&lt;&gt;"rumus","Semester","")</f>
        <v/>
      </c>
      <c r="E923" s="256" t="str">
        <f t="shared" si="518"/>
        <v/>
      </c>
      <c r="F923" s="256" t="str">
        <f t="shared" si="519"/>
        <v/>
      </c>
      <c r="G923" s="159" t="str">
        <f t="shared" si="520"/>
        <v>rumus</v>
      </c>
      <c r="H923" s="39" t="s">
        <v>66</v>
      </c>
      <c r="I923" s="131"/>
      <c r="J923" s="37" t="str">
        <f t="shared" si="521"/>
        <v>rumus</v>
      </c>
      <c r="K923" s="263"/>
      <c r="L923" s="261"/>
      <c r="M923" s="175"/>
    </row>
    <row r="924" spans="1:13" ht="15" hidden="1" customHeight="1" x14ac:dyDescent="0.45">
      <c r="A924" s="67"/>
      <c r="B924" s="168" t="str">
        <f>"a. Semester Genap "&amp;IF(C925&lt;&gt;"",C925,"")&amp;" :"</f>
        <v>a. Semester Genap 2010/2011 :</v>
      </c>
      <c r="C924" s="57"/>
      <c r="D924" s="57"/>
      <c r="E924" s="57"/>
      <c r="F924" s="57"/>
      <c r="G924" s="57"/>
      <c r="H924" s="188"/>
      <c r="I924" s="35"/>
      <c r="J924" s="35"/>
      <c r="K924" s="261">
        <f>IF(SUM(J922:J923)&gt;=2,2,SUM(J922:J923))</f>
        <v>0</v>
      </c>
      <c r="L924" s="261" t="s">
        <v>283</v>
      </c>
      <c r="M924" s="35"/>
    </row>
    <row r="925" spans="1:13" hidden="1" x14ac:dyDescent="0.45">
      <c r="A925" s="67">
        <v>1</v>
      </c>
      <c r="B925" s="199" t="s">
        <v>99</v>
      </c>
      <c r="C925" s="28" t="s">
        <v>108</v>
      </c>
      <c r="D925" s="28" t="str">
        <f>IF(G925&lt;&gt;"rumus","Semester","")</f>
        <v/>
      </c>
      <c r="E925" s="256" t="str">
        <f t="shared" ref="E925:E926" si="522">IF(I925&lt;&gt;"",1,"")</f>
        <v/>
      </c>
      <c r="F925" s="256" t="str">
        <f t="shared" ref="F925:F926" si="523">IF(I925&lt;&gt;"",J925,"")</f>
        <v/>
      </c>
      <c r="G925" s="159" t="str">
        <f t="shared" ref="G925:G926" si="524">IF(J925&lt;&gt;"rumus","1 x "&amp;J925&amp;" = "&amp;J925,"rumus")</f>
        <v>rumus</v>
      </c>
      <c r="H925" s="28" t="s">
        <v>109</v>
      </c>
      <c r="I925" s="131"/>
      <c r="J925" s="37" t="str">
        <f t="shared" ref="J925:J926" si="525">IF(I925="Mengembangkan program kuliah per semester",2,"rumus")</f>
        <v>rumus</v>
      </c>
      <c r="K925" s="261"/>
      <c r="L925" s="261"/>
      <c r="M925" s="35"/>
    </row>
    <row r="926" spans="1:13" hidden="1" x14ac:dyDescent="0.45">
      <c r="A926" s="67">
        <v>2</v>
      </c>
      <c r="B926" s="199" t="s">
        <v>99</v>
      </c>
      <c r="C926" s="28" t="s">
        <v>108</v>
      </c>
      <c r="D926" s="28" t="str">
        <f>IF(G926&lt;&gt;"rumus","Semester","")</f>
        <v/>
      </c>
      <c r="E926" s="256" t="str">
        <f t="shared" si="522"/>
        <v/>
      </c>
      <c r="F926" s="256" t="str">
        <f t="shared" si="523"/>
        <v/>
      </c>
      <c r="G926" s="159" t="str">
        <f t="shared" si="524"/>
        <v>rumus</v>
      </c>
      <c r="H926" s="39" t="s">
        <v>66</v>
      </c>
      <c r="I926" s="131"/>
      <c r="J926" s="37" t="str">
        <f t="shared" si="525"/>
        <v>rumus</v>
      </c>
      <c r="K926" s="261"/>
      <c r="L926" s="261"/>
      <c r="M926" s="35"/>
    </row>
    <row r="927" spans="1:13" ht="15" hidden="1" customHeight="1" x14ac:dyDescent="0.45">
      <c r="A927" s="67"/>
      <c r="B927" s="168" t="str">
        <f>"a. Semester Genap "&amp;IF(C928&lt;&gt;"",C928,"")&amp;" :"</f>
        <v>a. Semester Genap 2011/2012 :</v>
      </c>
      <c r="C927" s="57"/>
      <c r="D927" s="57"/>
      <c r="E927" s="57"/>
      <c r="F927" s="57"/>
      <c r="G927" s="57"/>
      <c r="H927" s="188"/>
      <c r="I927" s="35"/>
      <c r="J927" s="35"/>
      <c r="K927" s="261">
        <f>IF(SUM(J925:J926)&gt;=2,2,SUM(J925:J926))</f>
        <v>0</v>
      </c>
      <c r="L927" s="261" t="s">
        <v>283</v>
      </c>
      <c r="M927" s="35"/>
    </row>
    <row r="928" spans="1:13" hidden="1" x14ac:dyDescent="0.45">
      <c r="A928" s="67">
        <v>1</v>
      </c>
      <c r="B928" s="199" t="s">
        <v>99</v>
      </c>
      <c r="C928" s="28" t="s">
        <v>112</v>
      </c>
      <c r="D928" s="28" t="str">
        <f>IF(G928&lt;&gt;"rumus","Semester","")</f>
        <v/>
      </c>
      <c r="E928" s="256" t="str">
        <f t="shared" ref="E928:E929" si="526">IF(I928&lt;&gt;"",1,"")</f>
        <v/>
      </c>
      <c r="F928" s="256" t="str">
        <f t="shared" ref="F928:F929" si="527">IF(I928&lt;&gt;"",J928,"")</f>
        <v/>
      </c>
      <c r="G928" s="159" t="str">
        <f t="shared" ref="G928:G929" si="528">IF(J928&lt;&gt;"rumus","1 x "&amp;J928&amp;" = "&amp;J928,"rumus")</f>
        <v>rumus</v>
      </c>
      <c r="H928" s="28" t="s">
        <v>109</v>
      </c>
      <c r="I928" s="131"/>
      <c r="J928" s="37" t="str">
        <f t="shared" ref="J928:J929" si="529">IF(I928="Mengembangkan program kuliah per semester",2,"rumus")</f>
        <v>rumus</v>
      </c>
      <c r="K928" s="261"/>
      <c r="L928" s="261"/>
      <c r="M928" s="35"/>
    </row>
    <row r="929" spans="1:13" hidden="1" x14ac:dyDescent="0.45">
      <c r="A929" s="67">
        <v>2</v>
      </c>
      <c r="B929" s="199" t="s">
        <v>99</v>
      </c>
      <c r="C929" s="28" t="s">
        <v>112</v>
      </c>
      <c r="D929" s="28" t="str">
        <f>IF(G929&lt;&gt;"rumus","Semester","")</f>
        <v/>
      </c>
      <c r="E929" s="256" t="str">
        <f t="shared" si="526"/>
        <v/>
      </c>
      <c r="F929" s="256" t="str">
        <f t="shared" si="527"/>
        <v/>
      </c>
      <c r="G929" s="159" t="str">
        <f t="shared" si="528"/>
        <v>rumus</v>
      </c>
      <c r="H929" s="39" t="s">
        <v>66</v>
      </c>
      <c r="I929" s="131"/>
      <c r="J929" s="37" t="str">
        <f t="shared" si="529"/>
        <v>rumus</v>
      </c>
      <c r="K929" s="261"/>
      <c r="L929" s="261"/>
      <c r="M929" s="35"/>
    </row>
    <row r="930" spans="1:13" ht="15" hidden="1" customHeight="1" x14ac:dyDescent="0.45">
      <c r="A930" s="67"/>
      <c r="B930" s="168" t="str">
        <f>"a. Semester Genap "&amp;IF(C931&lt;&gt;"",C931,"")&amp;" :"</f>
        <v>a. Semester Genap 2012/2013 :</v>
      </c>
      <c r="C930" s="57"/>
      <c r="D930" s="57"/>
      <c r="E930" s="57"/>
      <c r="F930" s="57"/>
      <c r="G930" s="57"/>
      <c r="H930" s="188"/>
      <c r="I930" s="35"/>
      <c r="J930" s="35"/>
      <c r="K930" s="261">
        <f>IF(SUM(J928:J929)&gt;=2,2,SUM(J928:J929))</f>
        <v>0</v>
      </c>
      <c r="L930" s="261" t="s">
        <v>283</v>
      </c>
      <c r="M930" s="35"/>
    </row>
    <row r="931" spans="1:13" hidden="1" x14ac:dyDescent="0.45">
      <c r="A931" s="67">
        <v>1</v>
      </c>
      <c r="B931" s="199" t="s">
        <v>99</v>
      </c>
      <c r="C931" s="28" t="s">
        <v>113</v>
      </c>
      <c r="D931" s="28" t="str">
        <f>IF(G931&lt;&gt;"rumus","Semester","")</f>
        <v/>
      </c>
      <c r="E931" s="256" t="str">
        <f t="shared" ref="E931:E932" si="530">IF(I931&lt;&gt;"",1,"")</f>
        <v/>
      </c>
      <c r="F931" s="256" t="str">
        <f t="shared" ref="F931:F932" si="531">IF(I931&lt;&gt;"",J931,"")</f>
        <v/>
      </c>
      <c r="G931" s="159" t="str">
        <f t="shared" ref="G931:G932" si="532">IF(J931&lt;&gt;"rumus","1 x "&amp;J931&amp;" = "&amp;J931,"rumus")</f>
        <v>rumus</v>
      </c>
      <c r="H931" s="28" t="s">
        <v>109</v>
      </c>
      <c r="I931" s="131"/>
      <c r="J931" s="37" t="str">
        <f t="shared" ref="J931:J932" si="533">IF(I931="Mengembangkan program kuliah per semester",2,"rumus")</f>
        <v>rumus</v>
      </c>
      <c r="K931" s="261"/>
      <c r="L931" s="261"/>
      <c r="M931" s="35"/>
    </row>
    <row r="932" spans="1:13" hidden="1" x14ac:dyDescent="0.45">
      <c r="A932" s="67">
        <v>2</v>
      </c>
      <c r="B932" s="199" t="s">
        <v>99</v>
      </c>
      <c r="C932" s="28" t="s">
        <v>113</v>
      </c>
      <c r="D932" s="28" t="str">
        <f>IF(G932&lt;&gt;"rumus","Semester","")</f>
        <v/>
      </c>
      <c r="E932" s="256" t="str">
        <f t="shared" si="530"/>
        <v/>
      </c>
      <c r="F932" s="256" t="str">
        <f t="shared" si="531"/>
        <v/>
      </c>
      <c r="G932" s="159" t="str">
        <f t="shared" si="532"/>
        <v>rumus</v>
      </c>
      <c r="H932" s="39" t="s">
        <v>66</v>
      </c>
      <c r="I932" s="131"/>
      <c r="J932" s="37" t="str">
        <f t="shared" si="533"/>
        <v>rumus</v>
      </c>
      <c r="K932" s="261"/>
      <c r="L932" s="261"/>
      <c r="M932" s="35"/>
    </row>
    <row r="933" spans="1:13" ht="15" hidden="1" customHeight="1" x14ac:dyDescent="0.45">
      <c r="A933" s="67"/>
      <c r="B933" s="168" t="str">
        <f>"a. Semester Genap "&amp;IF(C934&lt;&gt;"",C934,"")&amp;" :"</f>
        <v>a. Semester Genap 2013/2014 :</v>
      </c>
      <c r="C933" s="57"/>
      <c r="D933" s="57"/>
      <c r="E933" s="57"/>
      <c r="F933" s="57"/>
      <c r="G933" s="57"/>
      <c r="H933" s="188"/>
      <c r="I933" s="35"/>
      <c r="J933" s="35"/>
      <c r="K933" s="261">
        <f>IF(SUM(J931:J932)&gt;=2,2,SUM(J931:J932))</f>
        <v>0</v>
      </c>
      <c r="L933" s="261" t="s">
        <v>283</v>
      </c>
      <c r="M933" s="35"/>
    </row>
    <row r="934" spans="1:13" hidden="1" x14ac:dyDescent="0.45">
      <c r="A934" s="67">
        <v>1</v>
      </c>
      <c r="B934" s="199" t="s">
        <v>99</v>
      </c>
      <c r="C934" s="28" t="s">
        <v>114</v>
      </c>
      <c r="D934" s="28" t="str">
        <f>IF(G934&lt;&gt;"rumus","Semester","")</f>
        <v/>
      </c>
      <c r="E934" s="256" t="str">
        <f t="shared" ref="E934:E935" si="534">IF(I934&lt;&gt;"",1,"")</f>
        <v/>
      </c>
      <c r="F934" s="256" t="str">
        <f t="shared" ref="F934:F935" si="535">IF(I934&lt;&gt;"",J934,"")</f>
        <v/>
      </c>
      <c r="G934" s="159" t="str">
        <f t="shared" ref="G934:G935" si="536">IF(J934&lt;&gt;"rumus","1 x "&amp;J934&amp;" = "&amp;J934,"rumus")</f>
        <v>rumus</v>
      </c>
      <c r="H934" s="28" t="s">
        <v>109</v>
      </c>
      <c r="I934" s="131"/>
      <c r="J934" s="37" t="str">
        <f t="shared" ref="J934:J935" si="537">IF(I934="Mengembangkan program kuliah per semester",2,"rumus")</f>
        <v>rumus</v>
      </c>
      <c r="K934" s="261"/>
      <c r="L934" s="261"/>
      <c r="M934" s="35"/>
    </row>
    <row r="935" spans="1:13" hidden="1" x14ac:dyDescent="0.45">
      <c r="A935" s="67">
        <v>2</v>
      </c>
      <c r="B935" s="199" t="s">
        <v>99</v>
      </c>
      <c r="C935" s="28" t="s">
        <v>114</v>
      </c>
      <c r="D935" s="28" t="str">
        <f>IF(G935&lt;&gt;"rumus","Semester","")</f>
        <v/>
      </c>
      <c r="E935" s="256" t="str">
        <f t="shared" si="534"/>
        <v/>
      </c>
      <c r="F935" s="256" t="str">
        <f t="shared" si="535"/>
        <v/>
      </c>
      <c r="G935" s="159" t="str">
        <f t="shared" si="536"/>
        <v>rumus</v>
      </c>
      <c r="H935" s="39" t="s">
        <v>66</v>
      </c>
      <c r="I935" s="131"/>
      <c r="J935" s="37" t="str">
        <f t="shared" si="537"/>
        <v>rumus</v>
      </c>
      <c r="K935" s="261"/>
      <c r="L935" s="261"/>
      <c r="M935" s="35"/>
    </row>
    <row r="936" spans="1:13" ht="15" hidden="1" customHeight="1" x14ac:dyDescent="0.45">
      <c r="A936" s="67"/>
      <c r="B936" s="168" t="str">
        <f>"a. Semester Genap "&amp;IF(C937&lt;&gt;"",C937,"")&amp;" :"</f>
        <v>a. Semester Genap 2014/2015 :</v>
      </c>
      <c r="C936" s="57"/>
      <c r="D936" s="57"/>
      <c r="E936" s="57"/>
      <c r="F936" s="57"/>
      <c r="G936" s="57"/>
      <c r="H936" s="188"/>
      <c r="I936" s="35"/>
      <c r="J936" s="35"/>
      <c r="K936" s="261">
        <f>IF(SUM(J934:J935)&gt;=2,2,SUM(J934:J935))</f>
        <v>0</v>
      </c>
      <c r="L936" s="261" t="s">
        <v>283</v>
      </c>
      <c r="M936" s="35"/>
    </row>
    <row r="937" spans="1:13" hidden="1" x14ac:dyDescent="0.45">
      <c r="A937" s="67">
        <v>1</v>
      </c>
      <c r="B937" s="199" t="s">
        <v>99</v>
      </c>
      <c r="C937" s="28" t="s">
        <v>251</v>
      </c>
      <c r="D937" s="28" t="str">
        <f>IF(G937&lt;&gt;"rumus","Semester","")</f>
        <v/>
      </c>
      <c r="E937" s="256" t="str">
        <f t="shared" ref="E937:E938" si="538">IF(I937&lt;&gt;"",1,"")</f>
        <v/>
      </c>
      <c r="F937" s="256" t="str">
        <f t="shared" ref="F937:F938" si="539">IF(I937&lt;&gt;"",J937,"")</f>
        <v/>
      </c>
      <c r="G937" s="159" t="str">
        <f t="shared" ref="G937:G938" si="540">IF(J937&lt;&gt;"rumus","1 x "&amp;J937&amp;" = "&amp;J937,"rumus")</f>
        <v>rumus</v>
      </c>
      <c r="H937" s="28" t="s">
        <v>109</v>
      </c>
      <c r="I937" s="131"/>
      <c r="J937" s="37" t="str">
        <f t="shared" ref="J937:J938" si="541">IF(I937="Mengembangkan program kuliah per semester",2,"rumus")</f>
        <v>rumus</v>
      </c>
      <c r="K937" s="261"/>
      <c r="L937" s="261"/>
      <c r="M937" s="35"/>
    </row>
    <row r="938" spans="1:13" hidden="1" x14ac:dyDescent="0.45">
      <c r="A938" s="67">
        <v>2</v>
      </c>
      <c r="B938" s="199" t="s">
        <v>99</v>
      </c>
      <c r="C938" s="28" t="s">
        <v>251</v>
      </c>
      <c r="D938" s="28" t="str">
        <f>IF(G938&lt;&gt;"rumus","Semester","")</f>
        <v/>
      </c>
      <c r="E938" s="256" t="str">
        <f t="shared" si="538"/>
        <v/>
      </c>
      <c r="F938" s="256" t="str">
        <f t="shared" si="539"/>
        <v/>
      </c>
      <c r="G938" s="159" t="str">
        <f t="shared" si="540"/>
        <v>rumus</v>
      </c>
      <c r="H938" s="39" t="s">
        <v>66</v>
      </c>
      <c r="I938" s="131"/>
      <c r="J938" s="37" t="str">
        <f t="shared" si="541"/>
        <v>rumus</v>
      </c>
      <c r="K938" s="261"/>
      <c r="L938" s="261"/>
      <c r="M938" s="35"/>
    </row>
    <row r="939" spans="1:13" ht="15" hidden="1" customHeight="1" x14ac:dyDescent="0.45">
      <c r="A939" s="67"/>
      <c r="B939" s="168" t="str">
        <f>"a. Semester Genap "&amp;IF(C940&lt;&gt;"",C940,"")&amp;" :"</f>
        <v>a. Semester Genap 2015/2016 :</v>
      </c>
      <c r="C939" s="57"/>
      <c r="D939" s="57"/>
      <c r="E939" s="57"/>
      <c r="F939" s="57"/>
      <c r="G939" s="57"/>
      <c r="H939" s="188"/>
      <c r="I939" s="35"/>
      <c r="J939" s="35"/>
      <c r="K939" s="261">
        <f>IF(SUM(J937:J938)&gt;=2,2,SUM(J937:J938))</f>
        <v>0</v>
      </c>
      <c r="L939" s="261" t="s">
        <v>283</v>
      </c>
      <c r="M939" s="35"/>
    </row>
    <row r="940" spans="1:13" hidden="1" x14ac:dyDescent="0.45">
      <c r="A940" s="67">
        <v>1</v>
      </c>
      <c r="B940" s="199" t="s">
        <v>99</v>
      </c>
      <c r="C940" s="28" t="s">
        <v>252</v>
      </c>
      <c r="D940" s="28" t="str">
        <f>IF(G940&lt;&gt;"rumus","Semester","")</f>
        <v/>
      </c>
      <c r="E940" s="256" t="str">
        <f t="shared" ref="E940:E941" si="542">IF(I940&lt;&gt;"",1,"")</f>
        <v/>
      </c>
      <c r="F940" s="256" t="str">
        <f t="shared" ref="F940:F941" si="543">IF(I940&lt;&gt;"",J940,"")</f>
        <v/>
      </c>
      <c r="G940" s="159" t="str">
        <f t="shared" ref="G940:G941" si="544">IF(J940&lt;&gt;"rumus","1 x "&amp;J940&amp;" = "&amp;J940,"rumus")</f>
        <v>rumus</v>
      </c>
      <c r="H940" s="28" t="s">
        <v>109</v>
      </c>
      <c r="I940" s="131"/>
      <c r="J940" s="37" t="str">
        <f t="shared" ref="J940:J941" si="545">IF(I940="Mengembangkan program kuliah per semester",2,"rumus")</f>
        <v>rumus</v>
      </c>
      <c r="K940" s="261"/>
      <c r="L940" s="261"/>
      <c r="M940" s="35"/>
    </row>
    <row r="941" spans="1:13" hidden="1" x14ac:dyDescent="0.45">
      <c r="A941" s="67">
        <v>2</v>
      </c>
      <c r="B941" s="199" t="s">
        <v>99</v>
      </c>
      <c r="C941" s="28" t="s">
        <v>252</v>
      </c>
      <c r="D941" s="28" t="str">
        <f>IF(G941&lt;&gt;"rumus","Semester","")</f>
        <v/>
      </c>
      <c r="E941" s="256" t="str">
        <f t="shared" si="542"/>
        <v/>
      </c>
      <c r="F941" s="256" t="str">
        <f t="shared" si="543"/>
        <v/>
      </c>
      <c r="G941" s="159" t="str">
        <f t="shared" si="544"/>
        <v>rumus</v>
      </c>
      <c r="H941" s="39" t="s">
        <v>66</v>
      </c>
      <c r="I941" s="131"/>
      <c r="J941" s="37" t="str">
        <f t="shared" si="545"/>
        <v>rumus</v>
      </c>
      <c r="K941" s="261"/>
      <c r="L941" s="261"/>
      <c r="M941" s="35"/>
    </row>
    <row r="942" spans="1:13" ht="15" customHeight="1" x14ac:dyDescent="0.45">
      <c r="A942" s="70"/>
      <c r="B942" s="968" t="s">
        <v>67</v>
      </c>
      <c r="C942" s="969"/>
      <c r="D942" s="970"/>
      <c r="E942" s="258"/>
      <c r="F942" s="258"/>
      <c r="G942" s="61">
        <f>SUM(K872:K942)</f>
        <v>0</v>
      </c>
      <c r="H942" s="123"/>
      <c r="I942" s="90"/>
      <c r="J942" s="35"/>
      <c r="K942" s="261">
        <f>IF(SUM(J940:J941)&gt;=2,2,SUM(J940:J941))</f>
        <v>0</v>
      </c>
      <c r="L942" s="261" t="s">
        <v>283</v>
      </c>
      <c r="M942" s="35"/>
    </row>
    <row r="943" spans="1:13" ht="15" customHeight="1" x14ac:dyDescent="0.45">
      <c r="A943" s="85" t="s">
        <v>123</v>
      </c>
      <c r="B943" s="177" t="s">
        <v>361</v>
      </c>
      <c r="C943" s="176"/>
      <c r="D943" s="176"/>
      <c r="E943" s="176"/>
      <c r="F943" s="176"/>
      <c r="G943" s="176"/>
      <c r="H943" s="178"/>
      <c r="I943" s="35"/>
      <c r="J943" s="35"/>
      <c r="K943" s="35"/>
      <c r="L943" s="35"/>
      <c r="M943" s="35"/>
    </row>
    <row r="944" spans="1:13" ht="15" hidden="1" customHeight="1" x14ac:dyDescent="0.45">
      <c r="A944" s="67"/>
      <c r="B944" s="169" t="s">
        <v>110</v>
      </c>
      <c r="C944" s="57"/>
      <c r="D944" s="57"/>
      <c r="E944" s="57"/>
      <c r="F944" s="57"/>
      <c r="G944" s="57"/>
      <c r="H944" s="188"/>
      <c r="I944" s="35"/>
      <c r="J944" s="35"/>
      <c r="K944" s="35"/>
      <c r="L944" s="35"/>
      <c r="M944" s="35"/>
    </row>
    <row r="945" spans="1:12" ht="15" hidden="1" customHeight="1" x14ac:dyDescent="0.45">
      <c r="A945" s="67">
        <v>1</v>
      </c>
      <c r="B945" s="179" t="s">
        <v>149</v>
      </c>
      <c r="C945" s="28" t="s">
        <v>141</v>
      </c>
      <c r="D945" s="28" t="str">
        <f>IF(G945&lt;&gt;"rumus","Eksampelar","")</f>
        <v/>
      </c>
      <c r="E945" s="256" t="str">
        <f t="shared" ref="E945" si="546">IF(I945&lt;&gt;"",1,"")</f>
        <v/>
      </c>
      <c r="F945" s="256" t="str">
        <f t="shared" ref="F945" si="547">IF(I945&lt;&gt;"",J945,"")</f>
        <v/>
      </c>
      <c r="G945" s="159" t="str">
        <f t="shared" ref="G945:G956" si="548">IF(J945&lt;&gt;"rumus","1 x "&amp;J945&amp;" = "&amp;J945,"rumus")</f>
        <v>rumus</v>
      </c>
      <c r="H945" s="28" t="s">
        <v>109</v>
      </c>
      <c r="I945" s="38"/>
      <c r="J945" s="37" t="str">
        <f>IF(I945&lt;&gt;"",IF(I945="Buku Pertahun",20,IF(I945="Diktat/Modul Persemester",5,"")),"rumus")</f>
        <v>rumus</v>
      </c>
      <c r="K945" s="35"/>
      <c r="L945" s="35"/>
    </row>
    <row r="946" spans="1:12" ht="15" hidden="1" customHeight="1" x14ac:dyDescent="0.45">
      <c r="A946" s="67">
        <v>2</v>
      </c>
      <c r="B946" s="199" t="s">
        <v>149</v>
      </c>
      <c r="C946" s="28" t="s">
        <v>142</v>
      </c>
      <c r="D946" s="28" t="str">
        <f t="shared" ref="D946:D956" si="549">IF(G946&lt;&gt;"rumus","Eksampelar","")</f>
        <v/>
      </c>
      <c r="E946" s="256" t="str">
        <f t="shared" ref="E946:E956" si="550">IF(I946&lt;&gt;"",1,"")</f>
        <v/>
      </c>
      <c r="F946" s="256" t="str">
        <f t="shared" ref="F946:F956" si="551">IF(I946&lt;&gt;"",J946,"")</f>
        <v/>
      </c>
      <c r="G946" s="159" t="str">
        <f t="shared" si="548"/>
        <v>rumus</v>
      </c>
      <c r="H946" s="39" t="s">
        <v>66</v>
      </c>
      <c r="I946" s="38"/>
      <c r="J946" s="37" t="str">
        <f t="shared" ref="J946:J956" si="552">IF(I946&lt;&gt;"",IF(I946="Buku Pertahun",20,IF(I946="Diktat/Modul Persemester",5,"")),"rumus")</f>
        <v>rumus</v>
      </c>
      <c r="K946" s="35"/>
      <c r="L946" s="35"/>
    </row>
    <row r="947" spans="1:12" ht="15" hidden="1" customHeight="1" x14ac:dyDescent="0.45">
      <c r="A947" s="67">
        <v>3</v>
      </c>
      <c r="B947" s="199" t="s">
        <v>149</v>
      </c>
      <c r="C947" s="172" t="s">
        <v>143</v>
      </c>
      <c r="D947" s="28" t="str">
        <f t="shared" si="549"/>
        <v/>
      </c>
      <c r="E947" s="256" t="str">
        <f t="shared" si="550"/>
        <v/>
      </c>
      <c r="F947" s="256" t="str">
        <f t="shared" si="551"/>
        <v/>
      </c>
      <c r="G947" s="159" t="str">
        <f t="shared" si="548"/>
        <v>rumus</v>
      </c>
      <c r="H947" s="39" t="s">
        <v>66</v>
      </c>
      <c r="I947" s="38"/>
      <c r="J947" s="37" t="str">
        <f t="shared" si="552"/>
        <v>rumus</v>
      </c>
      <c r="K947" s="35"/>
      <c r="L947" s="35"/>
    </row>
    <row r="948" spans="1:12" ht="15" hidden="1" customHeight="1" x14ac:dyDescent="0.45">
      <c r="A948" s="67">
        <v>4</v>
      </c>
      <c r="B948" s="199" t="s">
        <v>149</v>
      </c>
      <c r="C948" s="28" t="s">
        <v>144</v>
      </c>
      <c r="D948" s="28" t="str">
        <f t="shared" si="549"/>
        <v/>
      </c>
      <c r="E948" s="256" t="str">
        <f t="shared" si="550"/>
        <v/>
      </c>
      <c r="F948" s="256" t="str">
        <f t="shared" si="551"/>
        <v/>
      </c>
      <c r="G948" s="159" t="str">
        <f t="shared" si="548"/>
        <v>rumus</v>
      </c>
      <c r="H948" s="39" t="s">
        <v>66</v>
      </c>
      <c r="I948" s="38"/>
      <c r="J948" s="37" t="str">
        <f t="shared" si="552"/>
        <v>rumus</v>
      </c>
      <c r="K948" s="35"/>
      <c r="L948" s="35"/>
    </row>
    <row r="949" spans="1:12" ht="15" hidden="1" customHeight="1" x14ac:dyDescent="0.45">
      <c r="A949" s="67">
        <v>5</v>
      </c>
      <c r="B949" s="199" t="s">
        <v>149</v>
      </c>
      <c r="C949" s="172" t="s">
        <v>145</v>
      </c>
      <c r="D949" s="28" t="str">
        <f t="shared" si="549"/>
        <v/>
      </c>
      <c r="E949" s="256" t="str">
        <f t="shared" si="550"/>
        <v/>
      </c>
      <c r="F949" s="256" t="str">
        <f t="shared" si="551"/>
        <v/>
      </c>
      <c r="G949" s="159" t="str">
        <f t="shared" si="548"/>
        <v>rumus</v>
      </c>
      <c r="H949" s="39" t="s">
        <v>66</v>
      </c>
      <c r="I949" s="38"/>
      <c r="J949" s="37" t="str">
        <f t="shared" si="552"/>
        <v>rumus</v>
      </c>
      <c r="K949" s="35"/>
      <c r="L949" s="35"/>
    </row>
    <row r="950" spans="1:12" ht="15" hidden="1" customHeight="1" x14ac:dyDescent="0.45">
      <c r="A950" s="67">
        <v>6</v>
      </c>
      <c r="B950" s="199" t="s">
        <v>149</v>
      </c>
      <c r="C950" s="172" t="s">
        <v>146</v>
      </c>
      <c r="D950" s="28" t="str">
        <f t="shared" si="549"/>
        <v/>
      </c>
      <c r="E950" s="256" t="str">
        <f t="shared" si="550"/>
        <v/>
      </c>
      <c r="F950" s="256" t="str">
        <f t="shared" si="551"/>
        <v/>
      </c>
      <c r="G950" s="159" t="str">
        <f t="shared" si="548"/>
        <v>rumus</v>
      </c>
      <c r="H950" s="39" t="s">
        <v>66</v>
      </c>
      <c r="I950" s="38"/>
      <c r="J950" s="37" t="str">
        <f t="shared" si="552"/>
        <v>rumus</v>
      </c>
      <c r="K950" s="35"/>
      <c r="L950" s="35"/>
    </row>
    <row r="951" spans="1:12" ht="15" hidden="1" customHeight="1" x14ac:dyDescent="0.45">
      <c r="A951" s="67">
        <v>7</v>
      </c>
      <c r="B951" s="199" t="s">
        <v>149</v>
      </c>
      <c r="C951" s="28" t="s">
        <v>108</v>
      </c>
      <c r="D951" s="28" t="str">
        <f t="shared" si="549"/>
        <v/>
      </c>
      <c r="E951" s="256" t="str">
        <f t="shared" si="550"/>
        <v/>
      </c>
      <c r="F951" s="256" t="str">
        <f t="shared" si="551"/>
        <v/>
      </c>
      <c r="G951" s="159" t="str">
        <f t="shared" si="548"/>
        <v>rumus</v>
      </c>
      <c r="H951" s="39" t="s">
        <v>66</v>
      </c>
      <c r="I951" s="38"/>
      <c r="J951" s="37" t="str">
        <f t="shared" si="552"/>
        <v>rumus</v>
      </c>
      <c r="K951" s="35"/>
      <c r="L951" s="35"/>
    </row>
    <row r="952" spans="1:12" ht="15" hidden="1" customHeight="1" x14ac:dyDescent="0.45">
      <c r="A952" s="67">
        <v>8</v>
      </c>
      <c r="B952" s="199" t="s">
        <v>149</v>
      </c>
      <c r="C952" s="28" t="s">
        <v>112</v>
      </c>
      <c r="D952" s="28" t="str">
        <f t="shared" si="549"/>
        <v/>
      </c>
      <c r="E952" s="256" t="str">
        <f t="shared" si="550"/>
        <v/>
      </c>
      <c r="F952" s="256" t="str">
        <f t="shared" si="551"/>
        <v/>
      </c>
      <c r="G952" s="159" t="str">
        <f t="shared" si="548"/>
        <v>rumus</v>
      </c>
      <c r="H952" s="39" t="s">
        <v>66</v>
      </c>
      <c r="I952" s="38"/>
      <c r="J952" s="37" t="str">
        <f t="shared" si="552"/>
        <v>rumus</v>
      </c>
      <c r="K952" s="35"/>
      <c r="L952" s="35"/>
    </row>
    <row r="953" spans="1:12" ht="15" hidden="1" customHeight="1" x14ac:dyDescent="0.45">
      <c r="A953" s="67">
        <v>9</v>
      </c>
      <c r="B953" s="186" t="s">
        <v>149</v>
      </c>
      <c r="C953" s="28" t="s">
        <v>113</v>
      </c>
      <c r="D953" s="28" t="str">
        <f t="shared" si="549"/>
        <v/>
      </c>
      <c r="E953" s="256" t="str">
        <f t="shared" si="550"/>
        <v/>
      </c>
      <c r="F953" s="256" t="str">
        <f t="shared" si="551"/>
        <v/>
      </c>
      <c r="G953" s="159" t="str">
        <f t="shared" si="548"/>
        <v>rumus</v>
      </c>
      <c r="H953" s="39" t="s">
        <v>66</v>
      </c>
      <c r="I953" s="38"/>
      <c r="J953" s="37" t="str">
        <f t="shared" si="552"/>
        <v>rumus</v>
      </c>
      <c r="K953" s="35"/>
      <c r="L953" s="35"/>
    </row>
    <row r="954" spans="1:12" ht="15" hidden="1" customHeight="1" x14ac:dyDescent="0.45">
      <c r="A954" s="67">
        <v>10</v>
      </c>
      <c r="B954" s="186" t="s">
        <v>149</v>
      </c>
      <c r="C954" s="28" t="s">
        <v>114</v>
      </c>
      <c r="D954" s="28" t="str">
        <f t="shared" si="549"/>
        <v/>
      </c>
      <c r="E954" s="256" t="str">
        <f t="shared" si="550"/>
        <v/>
      </c>
      <c r="F954" s="256" t="str">
        <f t="shared" si="551"/>
        <v/>
      </c>
      <c r="G954" s="159" t="str">
        <f t="shared" si="548"/>
        <v>rumus</v>
      </c>
      <c r="H954" s="39" t="s">
        <v>66</v>
      </c>
      <c r="I954" s="38"/>
      <c r="J954" s="37" t="str">
        <f t="shared" si="552"/>
        <v>rumus</v>
      </c>
      <c r="K954" s="35"/>
      <c r="L954" s="35"/>
    </row>
    <row r="955" spans="1:12" ht="15" hidden="1" customHeight="1" x14ac:dyDescent="0.45">
      <c r="A955" s="67">
        <v>11</v>
      </c>
      <c r="B955" s="186" t="s">
        <v>149</v>
      </c>
      <c r="C955" s="28" t="s">
        <v>251</v>
      </c>
      <c r="D955" s="28" t="str">
        <f t="shared" si="549"/>
        <v/>
      </c>
      <c r="E955" s="256" t="str">
        <f t="shared" si="550"/>
        <v/>
      </c>
      <c r="F955" s="256" t="str">
        <f t="shared" si="551"/>
        <v/>
      </c>
      <c r="G955" s="159" t="str">
        <f t="shared" si="548"/>
        <v>rumus</v>
      </c>
      <c r="H955" s="39" t="s">
        <v>66</v>
      </c>
      <c r="I955" s="38"/>
      <c r="J955" s="37" t="str">
        <f t="shared" si="552"/>
        <v>rumus</v>
      </c>
      <c r="K955" s="35"/>
      <c r="L955" s="35"/>
    </row>
    <row r="956" spans="1:12" ht="15" hidden="1" customHeight="1" x14ac:dyDescent="0.45">
      <c r="A956" s="67">
        <v>12</v>
      </c>
      <c r="B956" s="163" t="s">
        <v>149</v>
      </c>
      <c r="C956" s="28" t="s">
        <v>252</v>
      </c>
      <c r="D956" s="28" t="str">
        <f t="shared" si="549"/>
        <v/>
      </c>
      <c r="E956" s="256" t="str">
        <f t="shared" si="550"/>
        <v/>
      </c>
      <c r="F956" s="256" t="str">
        <f t="shared" si="551"/>
        <v/>
      </c>
      <c r="G956" s="159" t="str">
        <f t="shared" si="548"/>
        <v>rumus</v>
      </c>
      <c r="H956" s="39" t="s">
        <v>66</v>
      </c>
      <c r="I956" s="38"/>
      <c r="J956" s="37" t="str">
        <f t="shared" si="552"/>
        <v>rumus</v>
      </c>
      <c r="K956" s="35"/>
      <c r="L956" s="35"/>
    </row>
    <row r="957" spans="1:12" ht="15" hidden="1" customHeight="1" x14ac:dyDescent="0.45">
      <c r="A957" s="70"/>
      <c r="B957" s="113" t="s">
        <v>111</v>
      </c>
      <c r="C957" s="57"/>
      <c r="D957" s="57"/>
      <c r="E957" s="57"/>
      <c r="F957" s="57"/>
      <c r="G957" s="57"/>
      <c r="H957" s="188"/>
      <c r="I957" s="35"/>
      <c r="J957" s="35"/>
      <c r="K957" s="35">
        <f>SUM(J945:J956)</f>
        <v>0</v>
      </c>
      <c r="L957" s="35"/>
    </row>
    <row r="958" spans="1:12" ht="15" hidden="1" customHeight="1" x14ac:dyDescent="0.45">
      <c r="A958" s="67">
        <v>1</v>
      </c>
      <c r="B958" s="163" t="s">
        <v>149</v>
      </c>
      <c r="C958" s="28" t="s">
        <v>141</v>
      </c>
      <c r="D958" s="28" t="str">
        <f>IF(G958&lt;&gt;"rumus","Eksampelar","")</f>
        <v/>
      </c>
      <c r="E958" s="256" t="str">
        <f t="shared" ref="E958:E969" si="553">IF(I958&lt;&gt;"",1,"")</f>
        <v/>
      </c>
      <c r="F958" s="256" t="str">
        <f t="shared" ref="F958:F969" si="554">IF(I958&lt;&gt;"",J958,"")</f>
        <v/>
      </c>
      <c r="G958" s="159" t="str">
        <f t="shared" ref="G958:G969" si="555">IF(J958&lt;&gt;"rumus","1 x "&amp;J958&amp;" = "&amp;J958,"rumus")</f>
        <v>rumus</v>
      </c>
      <c r="H958" s="28" t="s">
        <v>109</v>
      </c>
      <c r="I958" s="38"/>
      <c r="J958" s="37" t="str">
        <f>IF(I958&lt;&gt;"",IF(I958="Buku Pertahun",20,IF(I958="Diktat/Modul Persemester",5,"")),"rumus")</f>
        <v>rumus</v>
      </c>
      <c r="K958" s="35"/>
      <c r="L958" s="35"/>
    </row>
    <row r="959" spans="1:12" ht="15" hidden="1" customHeight="1" x14ac:dyDescent="0.45">
      <c r="A959" s="67">
        <v>2</v>
      </c>
      <c r="B959" s="163" t="s">
        <v>149</v>
      </c>
      <c r="C959" s="28" t="s">
        <v>142</v>
      </c>
      <c r="D959" s="28" t="str">
        <f t="shared" ref="D959:D969" si="556">IF(G959&lt;&gt;"rumus","Eksampelar","")</f>
        <v/>
      </c>
      <c r="E959" s="256" t="str">
        <f t="shared" si="553"/>
        <v/>
      </c>
      <c r="F959" s="256" t="str">
        <f t="shared" si="554"/>
        <v/>
      </c>
      <c r="G959" s="159" t="str">
        <f t="shared" si="555"/>
        <v>rumus</v>
      </c>
      <c r="H959" s="39" t="s">
        <v>66</v>
      </c>
      <c r="I959" s="38"/>
      <c r="J959" s="37" t="str">
        <f t="shared" ref="J959:J969" si="557">IF(I959&lt;&gt;"",IF(I959="Buku Pertahun",20,IF(I959="Diktat/Modul Persemester",5,"")),"rumus")</f>
        <v>rumus</v>
      </c>
      <c r="K959" s="35"/>
      <c r="L959" s="35"/>
    </row>
    <row r="960" spans="1:12" ht="15" hidden="1" customHeight="1" x14ac:dyDescent="0.45">
      <c r="A960" s="67">
        <v>3</v>
      </c>
      <c r="B960" s="163" t="s">
        <v>149</v>
      </c>
      <c r="C960" s="172" t="s">
        <v>143</v>
      </c>
      <c r="D960" s="28" t="str">
        <f t="shared" si="556"/>
        <v/>
      </c>
      <c r="E960" s="256" t="str">
        <f t="shared" si="553"/>
        <v/>
      </c>
      <c r="F960" s="256" t="str">
        <f t="shared" si="554"/>
        <v/>
      </c>
      <c r="G960" s="159" t="str">
        <f t="shared" si="555"/>
        <v>rumus</v>
      </c>
      <c r="H960" s="39" t="s">
        <v>66</v>
      </c>
      <c r="I960" s="38"/>
      <c r="J960" s="37" t="str">
        <f t="shared" si="557"/>
        <v>rumus</v>
      </c>
      <c r="K960" s="35"/>
      <c r="L960" s="35"/>
    </row>
    <row r="961" spans="1:13" ht="15" hidden="1" customHeight="1" x14ac:dyDescent="0.45">
      <c r="A961" s="67">
        <v>4</v>
      </c>
      <c r="B961" s="163" t="s">
        <v>149</v>
      </c>
      <c r="C961" s="28" t="s">
        <v>144</v>
      </c>
      <c r="D961" s="28" t="str">
        <f t="shared" si="556"/>
        <v/>
      </c>
      <c r="E961" s="256" t="str">
        <f t="shared" si="553"/>
        <v/>
      </c>
      <c r="F961" s="256" t="str">
        <f t="shared" si="554"/>
        <v/>
      </c>
      <c r="G961" s="159" t="str">
        <f t="shared" si="555"/>
        <v>rumus</v>
      </c>
      <c r="H961" s="39" t="s">
        <v>66</v>
      </c>
      <c r="I961" s="38"/>
      <c r="J961" s="37" t="str">
        <f t="shared" si="557"/>
        <v>rumus</v>
      </c>
      <c r="K961" s="35"/>
      <c r="L961" s="35"/>
    </row>
    <row r="962" spans="1:13" ht="15" hidden="1" customHeight="1" x14ac:dyDescent="0.45">
      <c r="A962" s="67">
        <v>5</v>
      </c>
      <c r="B962" s="163" t="s">
        <v>149</v>
      </c>
      <c r="C962" s="172" t="s">
        <v>145</v>
      </c>
      <c r="D962" s="28" t="str">
        <f t="shared" si="556"/>
        <v/>
      </c>
      <c r="E962" s="256" t="str">
        <f t="shared" si="553"/>
        <v/>
      </c>
      <c r="F962" s="256" t="str">
        <f t="shared" si="554"/>
        <v/>
      </c>
      <c r="G962" s="159" t="str">
        <f t="shared" si="555"/>
        <v>rumus</v>
      </c>
      <c r="H962" s="39" t="s">
        <v>66</v>
      </c>
      <c r="I962" s="38"/>
      <c r="J962" s="37" t="str">
        <f t="shared" si="557"/>
        <v>rumus</v>
      </c>
      <c r="K962" s="35"/>
      <c r="L962" s="35"/>
    </row>
    <row r="963" spans="1:13" ht="15" hidden="1" customHeight="1" x14ac:dyDescent="0.45">
      <c r="A963" s="67">
        <v>6</v>
      </c>
      <c r="B963" s="163" t="s">
        <v>149</v>
      </c>
      <c r="C963" s="172" t="s">
        <v>146</v>
      </c>
      <c r="D963" s="28" t="str">
        <f t="shared" si="556"/>
        <v/>
      </c>
      <c r="E963" s="256" t="str">
        <f t="shared" si="553"/>
        <v/>
      </c>
      <c r="F963" s="256" t="str">
        <f t="shared" si="554"/>
        <v/>
      </c>
      <c r="G963" s="159" t="str">
        <f t="shared" si="555"/>
        <v>rumus</v>
      </c>
      <c r="H963" s="39" t="s">
        <v>66</v>
      </c>
      <c r="I963" s="38"/>
      <c r="J963" s="37" t="str">
        <f t="shared" si="557"/>
        <v>rumus</v>
      </c>
      <c r="K963" s="35"/>
      <c r="L963" s="35"/>
    </row>
    <row r="964" spans="1:13" ht="15" hidden="1" customHeight="1" x14ac:dyDescent="0.45">
      <c r="A964" s="67">
        <v>7</v>
      </c>
      <c r="B964" s="163" t="s">
        <v>149</v>
      </c>
      <c r="C964" s="28" t="s">
        <v>108</v>
      </c>
      <c r="D964" s="28" t="str">
        <f t="shared" si="556"/>
        <v/>
      </c>
      <c r="E964" s="256" t="str">
        <f t="shared" si="553"/>
        <v/>
      </c>
      <c r="F964" s="256" t="str">
        <f t="shared" si="554"/>
        <v/>
      </c>
      <c r="G964" s="159" t="str">
        <f t="shared" si="555"/>
        <v>rumus</v>
      </c>
      <c r="H964" s="39" t="s">
        <v>66</v>
      </c>
      <c r="I964" s="38"/>
      <c r="J964" s="37" t="str">
        <f t="shared" si="557"/>
        <v>rumus</v>
      </c>
      <c r="K964" s="35"/>
      <c r="L964" s="35"/>
    </row>
    <row r="965" spans="1:13" ht="15" hidden="1" customHeight="1" x14ac:dyDescent="0.45">
      <c r="A965" s="67">
        <v>8</v>
      </c>
      <c r="B965" s="163" t="s">
        <v>149</v>
      </c>
      <c r="C965" s="28" t="s">
        <v>112</v>
      </c>
      <c r="D965" s="28" t="str">
        <f t="shared" si="556"/>
        <v/>
      </c>
      <c r="E965" s="256" t="str">
        <f t="shared" si="553"/>
        <v/>
      </c>
      <c r="F965" s="256" t="str">
        <f t="shared" si="554"/>
        <v/>
      </c>
      <c r="G965" s="159" t="str">
        <f t="shared" si="555"/>
        <v>rumus</v>
      </c>
      <c r="H965" s="39" t="s">
        <v>66</v>
      </c>
      <c r="I965" s="38"/>
      <c r="J965" s="37" t="str">
        <f t="shared" si="557"/>
        <v>rumus</v>
      </c>
      <c r="K965" s="35"/>
      <c r="L965" s="35"/>
    </row>
    <row r="966" spans="1:13" ht="15" hidden="1" customHeight="1" x14ac:dyDescent="0.45">
      <c r="A966" s="67">
        <v>9</v>
      </c>
      <c r="B966" s="163" t="s">
        <v>149</v>
      </c>
      <c r="C966" s="28" t="s">
        <v>113</v>
      </c>
      <c r="D966" s="28" t="str">
        <f t="shared" si="556"/>
        <v/>
      </c>
      <c r="E966" s="256" t="str">
        <f t="shared" si="553"/>
        <v/>
      </c>
      <c r="F966" s="256" t="str">
        <f t="shared" si="554"/>
        <v/>
      </c>
      <c r="G966" s="159" t="str">
        <f t="shared" si="555"/>
        <v>rumus</v>
      </c>
      <c r="H966" s="39" t="s">
        <v>66</v>
      </c>
      <c r="I966" s="38"/>
      <c r="J966" s="37" t="str">
        <f t="shared" si="557"/>
        <v>rumus</v>
      </c>
      <c r="K966" s="35"/>
      <c r="L966" s="35"/>
    </row>
    <row r="967" spans="1:13" ht="15" hidden="1" customHeight="1" x14ac:dyDescent="0.45">
      <c r="A967" s="67">
        <v>10</v>
      </c>
      <c r="B967" s="163" t="s">
        <v>149</v>
      </c>
      <c r="C967" s="28" t="s">
        <v>114</v>
      </c>
      <c r="D967" s="28" t="str">
        <f t="shared" si="556"/>
        <v/>
      </c>
      <c r="E967" s="256" t="str">
        <f t="shared" si="553"/>
        <v/>
      </c>
      <c r="F967" s="256" t="str">
        <f t="shared" si="554"/>
        <v/>
      </c>
      <c r="G967" s="159" t="str">
        <f t="shared" si="555"/>
        <v>rumus</v>
      </c>
      <c r="H967" s="39" t="s">
        <v>66</v>
      </c>
      <c r="I967" s="38"/>
      <c r="J967" s="37" t="str">
        <f t="shared" si="557"/>
        <v>rumus</v>
      </c>
      <c r="K967" s="35"/>
      <c r="L967" s="35"/>
    </row>
    <row r="968" spans="1:13" ht="15" hidden="1" customHeight="1" x14ac:dyDescent="0.45">
      <c r="A968" s="67">
        <v>11</v>
      </c>
      <c r="B968" s="186" t="s">
        <v>149</v>
      </c>
      <c r="C968" s="28" t="s">
        <v>251</v>
      </c>
      <c r="D968" s="28" t="str">
        <f t="shared" si="556"/>
        <v/>
      </c>
      <c r="E968" s="256" t="str">
        <f t="shared" si="553"/>
        <v/>
      </c>
      <c r="F968" s="256" t="str">
        <f t="shared" si="554"/>
        <v/>
      </c>
      <c r="G968" s="159" t="str">
        <f t="shared" si="555"/>
        <v>rumus</v>
      </c>
      <c r="H968" s="39" t="s">
        <v>66</v>
      </c>
      <c r="I968" s="38"/>
      <c r="J968" s="37" t="str">
        <f t="shared" si="557"/>
        <v>rumus</v>
      </c>
      <c r="K968" s="35"/>
      <c r="L968" s="35"/>
    </row>
    <row r="969" spans="1:13" ht="15" hidden="1" customHeight="1" x14ac:dyDescent="0.45">
      <c r="A969" s="67">
        <v>12</v>
      </c>
      <c r="B969" s="186" t="s">
        <v>149</v>
      </c>
      <c r="C969" s="28" t="s">
        <v>252</v>
      </c>
      <c r="D969" s="28" t="str">
        <f t="shared" si="556"/>
        <v/>
      </c>
      <c r="E969" s="256" t="str">
        <f t="shared" si="553"/>
        <v/>
      </c>
      <c r="F969" s="256" t="str">
        <f t="shared" si="554"/>
        <v/>
      </c>
      <c r="G969" s="159" t="str">
        <f t="shared" si="555"/>
        <v>rumus</v>
      </c>
      <c r="H969" s="39" t="s">
        <v>66</v>
      </c>
      <c r="I969" s="38"/>
      <c r="J969" s="37" t="str">
        <f t="shared" si="557"/>
        <v>rumus</v>
      </c>
      <c r="K969" s="35"/>
      <c r="L969" s="35"/>
    </row>
    <row r="970" spans="1:13" ht="15" customHeight="1" x14ac:dyDescent="0.45">
      <c r="A970" s="70"/>
      <c r="B970" s="968" t="s">
        <v>67</v>
      </c>
      <c r="C970" s="969"/>
      <c r="D970" s="970"/>
      <c r="E970" s="248"/>
      <c r="F970" s="252"/>
      <c r="G970" s="61">
        <f>SUM(K946:K970)</f>
        <v>0</v>
      </c>
      <c r="H970" s="49"/>
      <c r="I970" s="35"/>
      <c r="J970" s="106"/>
      <c r="K970" s="35">
        <f>SUM(J958:J969)</f>
        <v>0</v>
      </c>
      <c r="L970" s="35"/>
      <c r="M970" s="35"/>
    </row>
    <row r="971" spans="1:13" s="41" customFormat="1" ht="15" customHeight="1" x14ac:dyDescent="0.45">
      <c r="A971" s="68" t="s">
        <v>2</v>
      </c>
      <c r="B971" s="96" t="s">
        <v>21</v>
      </c>
      <c r="C971" s="65"/>
      <c r="D971" s="65"/>
      <c r="E971" s="65"/>
      <c r="F971" s="65"/>
      <c r="G971" s="65"/>
      <c r="H971" s="66"/>
      <c r="I971" s="89"/>
      <c r="J971" s="89"/>
      <c r="K971" s="89"/>
      <c r="L971" s="89"/>
      <c r="M971" s="89"/>
    </row>
    <row r="972" spans="1:13" ht="15" hidden="1" customHeight="1" x14ac:dyDescent="0.45">
      <c r="A972" s="67"/>
      <c r="B972" s="168" t="str">
        <f>"a. Semester Gasal "&amp;IF(C973&lt;&gt;"",C973,"")&amp;" :"</f>
        <v>a. Semester Gasal 2004/2005 :</v>
      </c>
      <c r="C972" s="57"/>
      <c r="D972" s="57"/>
      <c r="E972" s="57"/>
      <c r="F972" s="57"/>
      <c r="G972" s="57"/>
      <c r="H972" s="188"/>
      <c r="I972" s="35"/>
      <c r="J972" s="35"/>
      <c r="K972" s="261"/>
      <c r="L972" s="261"/>
      <c r="M972" s="35"/>
    </row>
    <row r="973" spans="1:13" hidden="1" x14ac:dyDescent="0.45">
      <c r="A973" s="67">
        <v>1</v>
      </c>
      <c r="B973" s="199" t="s">
        <v>100</v>
      </c>
      <c r="C973" s="28" t="s">
        <v>141</v>
      </c>
      <c r="D973" s="28" t="str">
        <f>IF(G973&lt;&gt;"rumus","Orasi","")</f>
        <v/>
      </c>
      <c r="E973" s="256" t="str">
        <f t="shared" ref="E973:E974" si="558">IF(I973&lt;&gt;"",1,"")</f>
        <v/>
      </c>
      <c r="F973" s="256" t="str">
        <f t="shared" ref="F973:F974" si="559">IF(I973&lt;&gt;"",J973,"")</f>
        <v/>
      </c>
      <c r="G973" s="159" t="str">
        <f t="shared" ref="G973:G974" si="560">IF(J973&lt;&gt;"rumus","1 x "&amp;J973&amp;" = "&amp;J973,"rumus")</f>
        <v>rumus</v>
      </c>
      <c r="H973" s="28" t="s">
        <v>109</v>
      </c>
      <c r="I973" s="99"/>
      <c r="J973" s="37" t="str">
        <f t="shared" ref="J973:J974" si="561">IF(I973="Menyampaikan Orasi Ilmiah",5,"rumus")</f>
        <v>rumus</v>
      </c>
      <c r="K973" s="261"/>
      <c r="L973" s="261"/>
      <c r="M973" s="35"/>
    </row>
    <row r="974" spans="1:13" hidden="1" x14ac:dyDescent="0.45">
      <c r="A974" s="67">
        <v>2</v>
      </c>
      <c r="B974" s="199" t="s">
        <v>100</v>
      </c>
      <c r="C974" s="28" t="s">
        <v>141</v>
      </c>
      <c r="D974" s="28" t="str">
        <f>IF(G974&lt;&gt;"rumus","Orasi","")</f>
        <v/>
      </c>
      <c r="E974" s="256" t="str">
        <f t="shared" si="558"/>
        <v/>
      </c>
      <c r="F974" s="256" t="str">
        <f t="shared" si="559"/>
        <v/>
      </c>
      <c r="G974" s="159" t="str">
        <f t="shared" si="560"/>
        <v>rumus</v>
      </c>
      <c r="H974" s="39" t="s">
        <v>66</v>
      </c>
      <c r="I974" s="99"/>
      <c r="J974" s="37" t="str">
        <f t="shared" si="561"/>
        <v>rumus</v>
      </c>
      <c r="K974" s="261"/>
      <c r="L974" s="261"/>
      <c r="M974" s="35"/>
    </row>
    <row r="975" spans="1:13" ht="15" hidden="1" customHeight="1" x14ac:dyDescent="0.45">
      <c r="A975" s="67"/>
      <c r="B975" s="168" t="str">
        <f>"a. Semester Gasal "&amp;IF(C976&lt;&gt;"",C976,"")&amp;" :"</f>
        <v>a. Semester Gasal 2005/2006 :</v>
      </c>
      <c r="C975" s="57"/>
      <c r="D975" s="57"/>
      <c r="E975" s="57"/>
      <c r="F975" s="57"/>
      <c r="G975" s="57"/>
      <c r="H975" s="188"/>
      <c r="I975" s="35"/>
      <c r="J975" s="35"/>
      <c r="K975" s="261">
        <f>IF(SUM(J973:J974)&gt;=10,10,SUM(J973:J974))</f>
        <v>0</v>
      </c>
      <c r="L975" s="261" t="s">
        <v>284</v>
      </c>
      <c r="M975" s="35"/>
    </row>
    <row r="976" spans="1:13" hidden="1" x14ac:dyDescent="0.45">
      <c r="A976" s="67">
        <v>1</v>
      </c>
      <c r="B976" s="199" t="s">
        <v>100</v>
      </c>
      <c r="C976" s="28" t="s">
        <v>142</v>
      </c>
      <c r="D976" s="28" t="str">
        <f>IF(G976&lt;&gt;"rumus","Orasi","")</f>
        <v/>
      </c>
      <c r="E976" s="256" t="str">
        <f t="shared" ref="E976:E977" si="562">IF(I976&lt;&gt;"",1,"")</f>
        <v/>
      </c>
      <c r="F976" s="256" t="str">
        <f t="shared" ref="F976:F977" si="563">IF(I976&lt;&gt;"",J976,"")</f>
        <v/>
      </c>
      <c r="G976" s="159" t="str">
        <f t="shared" ref="G976:G977" si="564">IF(J976&lt;&gt;"rumus","1 x "&amp;J976&amp;" = "&amp;J976,"rumus")</f>
        <v>rumus</v>
      </c>
      <c r="H976" s="28" t="s">
        <v>109</v>
      </c>
      <c r="I976" s="99"/>
      <c r="J976" s="37" t="str">
        <f t="shared" ref="J976:J977" si="565">IF(I976="Menyampaikan Orasi Ilmiah",5,"rumus")</f>
        <v>rumus</v>
      </c>
      <c r="K976" s="261"/>
      <c r="L976" s="261"/>
      <c r="M976" s="35"/>
    </row>
    <row r="977" spans="1:13" hidden="1" x14ac:dyDescent="0.45">
      <c r="A977" s="67">
        <v>2</v>
      </c>
      <c r="B977" s="199" t="s">
        <v>100</v>
      </c>
      <c r="C977" s="28" t="s">
        <v>142</v>
      </c>
      <c r="D977" s="28" t="str">
        <f>IF(G977&lt;&gt;"rumus","Orasi","")</f>
        <v/>
      </c>
      <c r="E977" s="256" t="str">
        <f t="shared" si="562"/>
        <v/>
      </c>
      <c r="F977" s="256" t="str">
        <f t="shared" si="563"/>
        <v/>
      </c>
      <c r="G977" s="159" t="str">
        <f t="shared" si="564"/>
        <v>rumus</v>
      </c>
      <c r="H977" s="39" t="s">
        <v>66</v>
      </c>
      <c r="I977" s="99"/>
      <c r="J977" s="37" t="str">
        <f t="shared" si="565"/>
        <v>rumus</v>
      </c>
      <c r="K977" s="261"/>
      <c r="L977" s="261"/>
      <c r="M977" s="35"/>
    </row>
    <row r="978" spans="1:13" ht="15" hidden="1" customHeight="1" x14ac:dyDescent="0.45">
      <c r="A978" s="67"/>
      <c r="B978" s="168" t="str">
        <f>"a. Semester Gasal "&amp;IF(C979&lt;&gt;"",C979,"")&amp;" :"</f>
        <v>a. Semester Gasal 2006/2007 :</v>
      </c>
      <c r="C978" s="57"/>
      <c r="D978" s="57"/>
      <c r="E978" s="57"/>
      <c r="F978" s="57"/>
      <c r="G978" s="57"/>
      <c r="H978" s="188"/>
      <c r="I978" s="35"/>
      <c r="J978" s="35"/>
      <c r="K978" s="261">
        <f>IF(SUM(J976:J977)&gt;=10,10,SUM(J976:J977))</f>
        <v>0</v>
      </c>
      <c r="L978" s="261" t="s">
        <v>284</v>
      </c>
      <c r="M978" s="35"/>
    </row>
    <row r="979" spans="1:13" s="140" customFormat="1" hidden="1" x14ac:dyDescent="0.45">
      <c r="A979" s="67">
        <v>1</v>
      </c>
      <c r="B979" s="199" t="s">
        <v>100</v>
      </c>
      <c r="C979" s="172" t="s">
        <v>143</v>
      </c>
      <c r="D979" s="28" t="str">
        <f>IF(G979&lt;&gt;"rumus","Orasi","")</f>
        <v/>
      </c>
      <c r="E979" s="256" t="str">
        <f t="shared" ref="E979:E980" si="566">IF(I979&lt;&gt;"",1,"")</f>
        <v/>
      </c>
      <c r="F979" s="256" t="str">
        <f t="shared" ref="F979:F980" si="567">IF(I979&lt;&gt;"",J979,"")</f>
        <v/>
      </c>
      <c r="G979" s="159" t="str">
        <f t="shared" ref="G979:G980" si="568">IF(J979&lt;&gt;"rumus","1 x "&amp;J979&amp;" = "&amp;J979,"rumus")</f>
        <v>rumus</v>
      </c>
      <c r="H979" s="28" t="s">
        <v>109</v>
      </c>
      <c r="I979" s="99"/>
      <c r="J979" s="37" t="str">
        <f t="shared" ref="J979:J980" si="569">IF(I979="Menyampaikan Orasi Ilmiah",5,"rumus")</f>
        <v>rumus</v>
      </c>
      <c r="K979" s="263"/>
      <c r="L979" s="263"/>
      <c r="M979" s="175"/>
    </row>
    <row r="980" spans="1:13" s="140" customFormat="1" hidden="1" x14ac:dyDescent="0.45">
      <c r="A980" s="67">
        <v>2</v>
      </c>
      <c r="B980" s="199" t="s">
        <v>100</v>
      </c>
      <c r="C980" s="172" t="s">
        <v>143</v>
      </c>
      <c r="D980" s="28" t="str">
        <f>IF(G980&lt;&gt;"rumus","Orasi","")</f>
        <v/>
      </c>
      <c r="E980" s="256" t="str">
        <f t="shared" si="566"/>
        <v/>
      </c>
      <c r="F980" s="256" t="str">
        <f t="shared" si="567"/>
        <v/>
      </c>
      <c r="G980" s="159" t="str">
        <f t="shared" si="568"/>
        <v>rumus</v>
      </c>
      <c r="H980" s="39" t="s">
        <v>66</v>
      </c>
      <c r="I980" s="99"/>
      <c r="J980" s="37" t="str">
        <f t="shared" si="569"/>
        <v>rumus</v>
      </c>
      <c r="K980" s="263"/>
      <c r="L980" s="263"/>
      <c r="M980" s="175"/>
    </row>
    <row r="981" spans="1:13" ht="15" hidden="1" customHeight="1" x14ac:dyDescent="0.45">
      <c r="A981" s="67"/>
      <c r="B981" s="168" t="str">
        <f>"a. Semester Gasal "&amp;IF(C982&lt;&gt;"",C982,"")&amp;" :"</f>
        <v>a. Semester Gasal 2007/2008 :</v>
      </c>
      <c r="C981" s="57"/>
      <c r="D981" s="57"/>
      <c r="E981" s="57"/>
      <c r="F981" s="57"/>
      <c r="G981" s="57"/>
      <c r="H981" s="188"/>
      <c r="I981" s="35"/>
      <c r="J981" s="35"/>
      <c r="K981" s="261">
        <f>IF(SUM(J979:J980)&gt;=10,10,SUM(J979:J980))</f>
        <v>0</v>
      </c>
      <c r="L981" s="261" t="s">
        <v>284</v>
      </c>
      <c r="M981" s="35"/>
    </row>
    <row r="982" spans="1:13" hidden="1" x14ac:dyDescent="0.45">
      <c r="A982" s="67">
        <v>1</v>
      </c>
      <c r="B982" s="199" t="s">
        <v>100</v>
      </c>
      <c r="C982" s="28" t="s">
        <v>144</v>
      </c>
      <c r="D982" s="28" t="str">
        <f>IF(G982&lt;&gt;"rumus","Orasi","")</f>
        <v/>
      </c>
      <c r="E982" s="256" t="str">
        <f t="shared" ref="E982:E983" si="570">IF(I982&lt;&gt;"",1,"")</f>
        <v/>
      </c>
      <c r="F982" s="256" t="str">
        <f t="shared" ref="F982:F983" si="571">IF(I982&lt;&gt;"",J982,"")</f>
        <v/>
      </c>
      <c r="G982" s="159" t="str">
        <f t="shared" ref="G982:G983" si="572">IF(J982&lt;&gt;"rumus","1 x "&amp;J982&amp;" = "&amp;J982,"rumus")</f>
        <v>rumus</v>
      </c>
      <c r="H982" s="28" t="s">
        <v>109</v>
      </c>
      <c r="I982" s="99"/>
      <c r="J982" s="37" t="str">
        <f t="shared" ref="J982:J983" si="573">IF(I982="Menyampaikan Orasi Ilmiah",5,"rumus")</f>
        <v>rumus</v>
      </c>
      <c r="K982" s="261"/>
      <c r="L982" s="261"/>
      <c r="M982" s="35"/>
    </row>
    <row r="983" spans="1:13" hidden="1" x14ac:dyDescent="0.45">
      <c r="A983" s="67">
        <v>2</v>
      </c>
      <c r="B983" s="199" t="s">
        <v>100</v>
      </c>
      <c r="C983" s="28" t="s">
        <v>144</v>
      </c>
      <c r="D983" s="28" t="str">
        <f>IF(G983&lt;&gt;"rumus","Orasi","")</f>
        <v/>
      </c>
      <c r="E983" s="256" t="str">
        <f t="shared" si="570"/>
        <v/>
      </c>
      <c r="F983" s="256" t="str">
        <f t="shared" si="571"/>
        <v/>
      </c>
      <c r="G983" s="159" t="str">
        <f t="shared" si="572"/>
        <v>rumus</v>
      </c>
      <c r="H983" s="39" t="s">
        <v>66</v>
      </c>
      <c r="I983" s="99"/>
      <c r="J983" s="37" t="str">
        <f t="shared" si="573"/>
        <v>rumus</v>
      </c>
      <c r="K983" s="261"/>
      <c r="L983" s="261"/>
      <c r="M983" s="35"/>
    </row>
    <row r="984" spans="1:13" ht="15" hidden="1" customHeight="1" x14ac:dyDescent="0.45">
      <c r="A984" s="67"/>
      <c r="B984" s="168" t="str">
        <f>"a. Semester Gasal "&amp;IF(C985&lt;&gt;"",C985,"")&amp;" :"</f>
        <v>a. Semester Gasal 2008/2009 :</v>
      </c>
      <c r="C984" s="57"/>
      <c r="D984" s="57"/>
      <c r="E984" s="57"/>
      <c r="F984" s="57"/>
      <c r="G984" s="57"/>
      <c r="H984" s="188"/>
      <c r="I984" s="35"/>
      <c r="J984" s="35"/>
      <c r="K984" s="261">
        <f>IF(SUM(J982:J983)&gt;=10,10,SUM(J982:J983))</f>
        <v>0</v>
      </c>
      <c r="L984" s="261" t="s">
        <v>284</v>
      </c>
      <c r="M984" s="35"/>
    </row>
    <row r="985" spans="1:13" s="140" customFormat="1" hidden="1" x14ac:dyDescent="0.45">
      <c r="A985" s="67">
        <v>1</v>
      </c>
      <c r="B985" s="199" t="s">
        <v>100</v>
      </c>
      <c r="C985" s="172" t="s">
        <v>145</v>
      </c>
      <c r="D985" s="28" t="str">
        <f>IF(G985&lt;&gt;"rumus","Orasi","")</f>
        <v/>
      </c>
      <c r="E985" s="256" t="str">
        <f t="shared" ref="E985:E986" si="574">IF(I985&lt;&gt;"",1,"")</f>
        <v/>
      </c>
      <c r="F985" s="256" t="str">
        <f t="shared" ref="F985:F986" si="575">IF(I985&lt;&gt;"",J985,"")</f>
        <v/>
      </c>
      <c r="G985" s="159" t="str">
        <f t="shared" ref="G985:G986" si="576">IF(J985&lt;&gt;"rumus","1 x "&amp;J985&amp;" = "&amp;J985,"rumus")</f>
        <v>rumus</v>
      </c>
      <c r="H985" s="28" t="s">
        <v>109</v>
      </c>
      <c r="I985" s="99"/>
      <c r="J985" s="37" t="str">
        <f t="shared" ref="J985:J986" si="577">IF(I985="Menyampaikan Orasi Ilmiah",5,"rumus")</f>
        <v>rumus</v>
      </c>
      <c r="K985" s="263"/>
      <c r="L985" s="263"/>
      <c r="M985" s="175"/>
    </row>
    <row r="986" spans="1:13" s="140" customFormat="1" hidden="1" x14ac:dyDescent="0.45">
      <c r="A986" s="67">
        <v>2</v>
      </c>
      <c r="B986" s="199" t="s">
        <v>100</v>
      </c>
      <c r="C986" s="172" t="s">
        <v>145</v>
      </c>
      <c r="D986" s="28" t="str">
        <f>IF(G986&lt;&gt;"rumus","Orasi","")</f>
        <v/>
      </c>
      <c r="E986" s="256" t="str">
        <f t="shared" si="574"/>
        <v/>
      </c>
      <c r="F986" s="256" t="str">
        <f t="shared" si="575"/>
        <v/>
      </c>
      <c r="G986" s="159" t="str">
        <f t="shared" si="576"/>
        <v>rumus</v>
      </c>
      <c r="H986" s="39" t="s">
        <v>66</v>
      </c>
      <c r="I986" s="99"/>
      <c r="J986" s="37" t="str">
        <f t="shared" si="577"/>
        <v>rumus</v>
      </c>
      <c r="K986" s="263"/>
      <c r="L986" s="263"/>
      <c r="M986" s="175"/>
    </row>
    <row r="987" spans="1:13" ht="15" hidden="1" customHeight="1" x14ac:dyDescent="0.45">
      <c r="A987" s="67"/>
      <c r="B987" s="168" t="str">
        <f>"a. Semester Gasal "&amp;IF(C988&lt;&gt;"",C988,"")&amp;" :"</f>
        <v>a. Semester Gasal 2009/2010 :</v>
      </c>
      <c r="C987" s="57"/>
      <c r="D987" s="57"/>
      <c r="E987" s="57"/>
      <c r="F987" s="57"/>
      <c r="G987" s="57"/>
      <c r="H987" s="188"/>
      <c r="I987" s="35"/>
      <c r="J987" s="35"/>
      <c r="K987" s="261">
        <f>IF(SUM(J985:J986)&gt;=10,10,SUM(J985:J986))</f>
        <v>0</v>
      </c>
      <c r="L987" s="261" t="s">
        <v>284</v>
      </c>
      <c r="M987" s="35"/>
    </row>
    <row r="988" spans="1:13" s="140" customFormat="1" hidden="1" x14ac:dyDescent="0.45">
      <c r="A988" s="67">
        <v>1</v>
      </c>
      <c r="B988" s="199" t="s">
        <v>100</v>
      </c>
      <c r="C988" s="172" t="s">
        <v>146</v>
      </c>
      <c r="D988" s="28" t="str">
        <f>IF(G988&lt;&gt;"rumus","Orasi","")</f>
        <v/>
      </c>
      <c r="E988" s="256" t="str">
        <f t="shared" ref="E988:E989" si="578">IF(I988&lt;&gt;"",1,"")</f>
        <v/>
      </c>
      <c r="F988" s="256" t="str">
        <f t="shared" ref="F988:F989" si="579">IF(I988&lt;&gt;"",J988,"")</f>
        <v/>
      </c>
      <c r="G988" s="159" t="str">
        <f t="shared" ref="G988:G989" si="580">IF(J988&lt;&gt;"rumus","1 x "&amp;J988&amp;" = "&amp;J988,"rumus")</f>
        <v>rumus</v>
      </c>
      <c r="H988" s="28" t="s">
        <v>109</v>
      </c>
      <c r="I988" s="99"/>
      <c r="J988" s="37" t="str">
        <f t="shared" ref="J988:J989" si="581">IF(I988="Menyampaikan Orasi Ilmiah",5,"rumus")</f>
        <v>rumus</v>
      </c>
      <c r="K988" s="261"/>
      <c r="L988" s="261"/>
      <c r="M988" s="175"/>
    </row>
    <row r="989" spans="1:13" s="140" customFormat="1" hidden="1" x14ac:dyDescent="0.45">
      <c r="A989" s="67">
        <v>2</v>
      </c>
      <c r="B989" s="199" t="s">
        <v>100</v>
      </c>
      <c r="C989" s="172" t="s">
        <v>146</v>
      </c>
      <c r="D989" s="28" t="str">
        <f>IF(G989&lt;&gt;"rumus","Orasi","")</f>
        <v/>
      </c>
      <c r="E989" s="256" t="str">
        <f t="shared" si="578"/>
        <v/>
      </c>
      <c r="F989" s="256" t="str">
        <f t="shared" si="579"/>
        <v/>
      </c>
      <c r="G989" s="159" t="str">
        <f t="shared" si="580"/>
        <v>rumus</v>
      </c>
      <c r="H989" s="39" t="s">
        <v>66</v>
      </c>
      <c r="I989" s="99"/>
      <c r="J989" s="37" t="str">
        <f t="shared" si="581"/>
        <v>rumus</v>
      </c>
      <c r="K989" s="261"/>
      <c r="L989" s="261"/>
      <c r="M989" s="175"/>
    </row>
    <row r="990" spans="1:13" ht="15" hidden="1" customHeight="1" x14ac:dyDescent="0.45">
      <c r="A990" s="67"/>
      <c r="B990" s="168" t="str">
        <f>"a. Semester Gasal "&amp;IF(C991&lt;&gt;"",C991,"")&amp;" :"</f>
        <v>a. Semester Gasal 2010/2011 :</v>
      </c>
      <c r="C990" s="57"/>
      <c r="D990" s="57"/>
      <c r="E990" s="57"/>
      <c r="F990" s="57"/>
      <c r="G990" s="57"/>
      <c r="H990" s="188"/>
      <c r="I990" s="35"/>
      <c r="J990" s="35"/>
      <c r="K990" s="261">
        <f>IF(SUM(J988:J989)&gt;=10,10,SUM(J988:J989))</f>
        <v>0</v>
      </c>
      <c r="L990" s="261" t="s">
        <v>284</v>
      </c>
      <c r="M990" s="35"/>
    </row>
    <row r="991" spans="1:13" hidden="1" x14ac:dyDescent="0.45">
      <c r="A991" s="67">
        <v>1</v>
      </c>
      <c r="B991" s="199" t="s">
        <v>100</v>
      </c>
      <c r="C991" s="28" t="s">
        <v>108</v>
      </c>
      <c r="D991" s="28" t="str">
        <f>IF(G991&lt;&gt;"rumus","Orasi","")</f>
        <v/>
      </c>
      <c r="E991" s="256" t="str">
        <f t="shared" ref="E991:E992" si="582">IF(I991&lt;&gt;"",1,"")</f>
        <v/>
      </c>
      <c r="F991" s="256" t="str">
        <f t="shared" ref="F991:F992" si="583">IF(I991&lt;&gt;"",J991,"")</f>
        <v/>
      </c>
      <c r="G991" s="159" t="str">
        <f t="shared" ref="G991:G992" si="584">IF(J991&lt;&gt;"rumus","1 x "&amp;J991&amp;" = "&amp;J991,"rumus")</f>
        <v>rumus</v>
      </c>
      <c r="H991" s="28" t="s">
        <v>109</v>
      </c>
      <c r="I991" s="99"/>
      <c r="J991" s="37" t="str">
        <f t="shared" ref="J991:J992" si="585">IF(I991="Menyampaikan Orasi Ilmiah",5,"rumus")</f>
        <v>rumus</v>
      </c>
      <c r="K991" s="263"/>
      <c r="L991" s="263"/>
      <c r="M991" s="35"/>
    </row>
    <row r="992" spans="1:13" hidden="1" x14ac:dyDescent="0.45">
      <c r="A992" s="67">
        <v>2</v>
      </c>
      <c r="B992" s="199" t="s">
        <v>100</v>
      </c>
      <c r="C992" s="28" t="s">
        <v>108</v>
      </c>
      <c r="D992" s="28" t="str">
        <f>IF(G992&lt;&gt;"rumus","Orasi","")</f>
        <v/>
      </c>
      <c r="E992" s="256" t="str">
        <f t="shared" si="582"/>
        <v/>
      </c>
      <c r="F992" s="256" t="str">
        <f t="shared" si="583"/>
        <v/>
      </c>
      <c r="G992" s="159" t="str">
        <f t="shared" si="584"/>
        <v>rumus</v>
      </c>
      <c r="H992" s="39" t="s">
        <v>66</v>
      </c>
      <c r="I992" s="99"/>
      <c r="J992" s="37" t="str">
        <f t="shared" si="585"/>
        <v>rumus</v>
      </c>
      <c r="K992" s="263"/>
      <c r="L992" s="263"/>
      <c r="M992" s="35"/>
    </row>
    <row r="993" spans="1:13" ht="15" hidden="1" customHeight="1" x14ac:dyDescent="0.45">
      <c r="A993" s="67"/>
      <c r="B993" s="168" t="str">
        <f>"a. Semester Gasal "&amp;IF(C994&lt;&gt;"",C994,"")&amp;" :"</f>
        <v>a. Semester Gasal 2011/2012 :</v>
      </c>
      <c r="C993" s="57"/>
      <c r="D993" s="57"/>
      <c r="E993" s="57"/>
      <c r="F993" s="57"/>
      <c r="G993" s="57"/>
      <c r="H993" s="188"/>
      <c r="I993" s="35"/>
      <c r="J993" s="35"/>
      <c r="K993" s="261">
        <f>IF(SUM(J991:J992)&gt;=10,10,SUM(J991:J992))</f>
        <v>0</v>
      </c>
      <c r="L993" s="261" t="s">
        <v>284</v>
      </c>
      <c r="M993" s="35"/>
    </row>
    <row r="994" spans="1:13" hidden="1" x14ac:dyDescent="0.45">
      <c r="A994" s="67">
        <v>1</v>
      </c>
      <c r="B994" s="199" t="s">
        <v>100</v>
      </c>
      <c r="C994" s="28" t="s">
        <v>112</v>
      </c>
      <c r="D994" s="28" t="str">
        <f>IF(G994&lt;&gt;"rumus","Orasi","")</f>
        <v/>
      </c>
      <c r="E994" s="256" t="str">
        <f t="shared" ref="E994:E995" si="586">IF(I994&lt;&gt;"",1,"")</f>
        <v/>
      </c>
      <c r="F994" s="256" t="str">
        <f t="shared" ref="F994:F995" si="587">IF(I994&lt;&gt;"",J994,"")</f>
        <v/>
      </c>
      <c r="G994" s="159" t="str">
        <f t="shared" ref="G994:G995" si="588">IF(J994&lt;&gt;"rumus","1 x "&amp;J994&amp;" = "&amp;J994,"rumus")</f>
        <v>rumus</v>
      </c>
      <c r="H994" s="28" t="s">
        <v>109</v>
      </c>
      <c r="I994" s="99"/>
      <c r="J994" s="37" t="str">
        <f t="shared" ref="J994:J995" si="589">IF(I994="Menyampaikan Orasi Ilmiah",5,"rumus")</f>
        <v>rumus</v>
      </c>
      <c r="K994" s="261"/>
      <c r="L994" s="261"/>
      <c r="M994" s="35"/>
    </row>
    <row r="995" spans="1:13" hidden="1" x14ac:dyDescent="0.45">
      <c r="A995" s="67">
        <v>2</v>
      </c>
      <c r="B995" s="199" t="s">
        <v>100</v>
      </c>
      <c r="C995" s="28" t="s">
        <v>112</v>
      </c>
      <c r="D995" s="28" t="str">
        <f>IF(G995&lt;&gt;"rumus","Orasi","")</f>
        <v/>
      </c>
      <c r="E995" s="256" t="str">
        <f t="shared" si="586"/>
        <v/>
      </c>
      <c r="F995" s="256" t="str">
        <f t="shared" si="587"/>
        <v/>
      </c>
      <c r="G995" s="159" t="str">
        <f t="shared" si="588"/>
        <v>rumus</v>
      </c>
      <c r="H995" s="39" t="s">
        <v>66</v>
      </c>
      <c r="I995" s="99"/>
      <c r="J995" s="37" t="str">
        <f t="shared" si="589"/>
        <v>rumus</v>
      </c>
      <c r="K995" s="261"/>
      <c r="L995" s="261"/>
      <c r="M995" s="35"/>
    </row>
    <row r="996" spans="1:13" ht="15" hidden="1" customHeight="1" x14ac:dyDescent="0.45">
      <c r="A996" s="67"/>
      <c r="B996" s="168" t="str">
        <f>"a. Semester Gasal "&amp;IF(C997&lt;&gt;"",C997,"")&amp;" :"</f>
        <v>a. Semester Gasal 2012/2013 :</v>
      </c>
      <c r="C996" s="57"/>
      <c r="D996" s="57"/>
      <c r="E996" s="57"/>
      <c r="F996" s="57"/>
      <c r="G996" s="57"/>
      <c r="H996" s="188"/>
      <c r="I996" s="35"/>
      <c r="J996" s="35"/>
      <c r="K996" s="261">
        <f>IF(SUM(J994:J995)&gt;=10,10,SUM(J994:J995))</f>
        <v>0</v>
      </c>
      <c r="L996" s="261" t="s">
        <v>284</v>
      </c>
      <c r="M996" s="35"/>
    </row>
    <row r="997" spans="1:13" hidden="1" x14ac:dyDescent="0.45">
      <c r="A997" s="67">
        <v>1</v>
      </c>
      <c r="B997" s="199" t="s">
        <v>100</v>
      </c>
      <c r="C997" s="28" t="s">
        <v>113</v>
      </c>
      <c r="D997" s="28" t="str">
        <f>IF(G997&lt;&gt;"rumus","Orasi","")</f>
        <v/>
      </c>
      <c r="E997" s="256" t="str">
        <f t="shared" ref="E997:E998" si="590">IF(I997&lt;&gt;"",1,"")</f>
        <v/>
      </c>
      <c r="F997" s="256" t="str">
        <f t="shared" ref="F997:F998" si="591">IF(I997&lt;&gt;"",J997,"")</f>
        <v/>
      </c>
      <c r="G997" s="159" t="str">
        <f t="shared" ref="G997:G998" si="592">IF(J997&lt;&gt;"rumus","1 x "&amp;J997&amp;" = "&amp;J997,"rumus")</f>
        <v>rumus</v>
      </c>
      <c r="H997" s="28" t="s">
        <v>109</v>
      </c>
      <c r="I997" s="99"/>
      <c r="J997" s="37" t="str">
        <f t="shared" ref="J997:J998" si="593">IF(I997="Menyampaikan Orasi Ilmiah",5,"rumus")</f>
        <v>rumus</v>
      </c>
      <c r="K997" s="261"/>
      <c r="L997" s="261"/>
      <c r="M997" s="35"/>
    </row>
    <row r="998" spans="1:13" hidden="1" x14ac:dyDescent="0.45">
      <c r="A998" s="67">
        <v>2</v>
      </c>
      <c r="B998" s="199" t="s">
        <v>100</v>
      </c>
      <c r="C998" s="28" t="s">
        <v>113</v>
      </c>
      <c r="D998" s="28" t="str">
        <f>IF(G998&lt;&gt;"rumus","Orasi","")</f>
        <v/>
      </c>
      <c r="E998" s="256" t="str">
        <f t="shared" si="590"/>
        <v/>
      </c>
      <c r="F998" s="256" t="str">
        <f t="shared" si="591"/>
        <v/>
      </c>
      <c r="G998" s="159" t="str">
        <f t="shared" si="592"/>
        <v>rumus</v>
      </c>
      <c r="H998" s="39" t="s">
        <v>66</v>
      </c>
      <c r="I998" s="99"/>
      <c r="J998" s="37" t="str">
        <f t="shared" si="593"/>
        <v>rumus</v>
      </c>
      <c r="K998" s="261"/>
      <c r="L998" s="261"/>
      <c r="M998" s="35"/>
    </row>
    <row r="999" spans="1:13" ht="15" hidden="1" customHeight="1" x14ac:dyDescent="0.45">
      <c r="A999" s="67"/>
      <c r="B999" s="168" t="str">
        <f>"a. Semester Gasal "&amp;IF(C1000&lt;&gt;"",C1000,"")&amp;" :"</f>
        <v>a. Semester Gasal 2013/2014 :</v>
      </c>
      <c r="C999" s="57"/>
      <c r="D999" s="57"/>
      <c r="E999" s="57"/>
      <c r="F999" s="57"/>
      <c r="G999" s="57"/>
      <c r="H999" s="188"/>
      <c r="I999" s="35"/>
      <c r="J999" s="35"/>
      <c r="K999" s="261">
        <f>IF(SUM(J997:J998)&gt;=10,10,SUM(J997:J998))</f>
        <v>0</v>
      </c>
      <c r="L999" s="261" t="s">
        <v>284</v>
      </c>
      <c r="M999" s="35"/>
    </row>
    <row r="1000" spans="1:13" hidden="1" x14ac:dyDescent="0.45">
      <c r="A1000" s="67">
        <v>1</v>
      </c>
      <c r="B1000" s="199" t="s">
        <v>100</v>
      </c>
      <c r="C1000" s="28" t="s">
        <v>114</v>
      </c>
      <c r="D1000" s="28" t="str">
        <f>IF(G1000&lt;&gt;"rumus","Orasi","")</f>
        <v/>
      </c>
      <c r="E1000" s="256" t="str">
        <f t="shared" ref="E1000:E1001" si="594">IF(I1000&lt;&gt;"",1,"")</f>
        <v/>
      </c>
      <c r="F1000" s="256" t="str">
        <f t="shared" ref="F1000:F1001" si="595">IF(I1000&lt;&gt;"",J1000,"")</f>
        <v/>
      </c>
      <c r="G1000" s="159" t="str">
        <f t="shared" ref="G1000:G1001" si="596">IF(J1000&lt;&gt;"rumus","1 x "&amp;J1000&amp;" = "&amp;J1000,"rumus")</f>
        <v>rumus</v>
      </c>
      <c r="H1000" s="28" t="s">
        <v>109</v>
      </c>
      <c r="I1000" s="99"/>
      <c r="J1000" s="37" t="str">
        <f t="shared" ref="J1000:J1001" si="597">IF(I1000="Menyampaikan Orasi Ilmiah",5,"rumus")</f>
        <v>rumus</v>
      </c>
      <c r="K1000" s="261"/>
      <c r="L1000" s="261"/>
      <c r="M1000" s="35"/>
    </row>
    <row r="1001" spans="1:13" hidden="1" x14ac:dyDescent="0.45">
      <c r="A1001" s="67">
        <v>2</v>
      </c>
      <c r="B1001" s="199" t="s">
        <v>100</v>
      </c>
      <c r="C1001" s="28" t="s">
        <v>114</v>
      </c>
      <c r="D1001" s="28" t="str">
        <f>IF(G1001&lt;&gt;"rumus","Orasi","")</f>
        <v/>
      </c>
      <c r="E1001" s="256" t="str">
        <f t="shared" si="594"/>
        <v/>
      </c>
      <c r="F1001" s="256" t="str">
        <f t="shared" si="595"/>
        <v/>
      </c>
      <c r="G1001" s="159" t="str">
        <f t="shared" si="596"/>
        <v>rumus</v>
      </c>
      <c r="H1001" s="39" t="s">
        <v>66</v>
      </c>
      <c r="I1001" s="99"/>
      <c r="J1001" s="37" t="str">
        <f t="shared" si="597"/>
        <v>rumus</v>
      </c>
      <c r="K1001" s="261"/>
      <c r="L1001" s="261"/>
      <c r="M1001" s="35"/>
    </row>
    <row r="1002" spans="1:13" ht="15" hidden="1" customHeight="1" x14ac:dyDescent="0.45">
      <c r="A1002" s="67"/>
      <c r="B1002" s="168" t="str">
        <f>"a. Semester Gasal "&amp;IF(C1003&lt;&gt;"",C1003,"")&amp;" :"</f>
        <v>a. Semester Gasal 2014/2015 :</v>
      </c>
      <c r="C1002" s="57"/>
      <c r="D1002" s="57"/>
      <c r="E1002" s="57"/>
      <c r="F1002" s="57"/>
      <c r="G1002" s="57"/>
      <c r="H1002" s="188"/>
      <c r="I1002" s="35"/>
      <c r="J1002" s="35"/>
      <c r="K1002" s="261">
        <f>IF(SUM(J1000:J1001)&gt;=10,10,SUM(J1000:J1001))</f>
        <v>0</v>
      </c>
      <c r="L1002" s="261" t="s">
        <v>284</v>
      </c>
      <c r="M1002" s="35"/>
    </row>
    <row r="1003" spans="1:13" hidden="1" x14ac:dyDescent="0.45">
      <c r="A1003" s="67">
        <v>1</v>
      </c>
      <c r="B1003" s="199" t="s">
        <v>100</v>
      </c>
      <c r="C1003" s="28" t="s">
        <v>251</v>
      </c>
      <c r="D1003" s="28" t="str">
        <f>IF(G1003&lt;&gt;"rumus","Orasi","")</f>
        <v/>
      </c>
      <c r="E1003" s="256" t="str">
        <f t="shared" ref="E1003:E1004" si="598">IF(I1003&lt;&gt;"",1,"")</f>
        <v/>
      </c>
      <c r="F1003" s="256" t="str">
        <f t="shared" ref="F1003:F1004" si="599">IF(I1003&lt;&gt;"",J1003,"")</f>
        <v/>
      </c>
      <c r="G1003" s="159" t="str">
        <f t="shared" ref="G1003:G1004" si="600">IF(J1003&lt;&gt;"rumus","1 x "&amp;J1003&amp;" = "&amp;J1003,"rumus")</f>
        <v>rumus</v>
      </c>
      <c r="H1003" s="28" t="s">
        <v>109</v>
      </c>
      <c r="I1003" s="99"/>
      <c r="J1003" s="37" t="str">
        <f t="shared" ref="J1003:J1004" si="601">IF(I1003="Menyampaikan Orasi Ilmiah",5,"rumus")</f>
        <v>rumus</v>
      </c>
      <c r="K1003" s="263"/>
      <c r="L1003" s="263"/>
      <c r="M1003" s="35"/>
    </row>
    <row r="1004" spans="1:13" hidden="1" x14ac:dyDescent="0.45">
      <c r="A1004" s="67">
        <v>2</v>
      </c>
      <c r="B1004" s="199" t="s">
        <v>100</v>
      </c>
      <c r="C1004" s="28" t="s">
        <v>251</v>
      </c>
      <c r="D1004" s="28" t="str">
        <f>IF(G1004&lt;&gt;"rumus","Orasi","")</f>
        <v/>
      </c>
      <c r="E1004" s="256" t="str">
        <f t="shared" si="598"/>
        <v/>
      </c>
      <c r="F1004" s="256" t="str">
        <f t="shared" si="599"/>
        <v/>
      </c>
      <c r="G1004" s="159" t="str">
        <f t="shared" si="600"/>
        <v>rumus</v>
      </c>
      <c r="H1004" s="39" t="s">
        <v>66</v>
      </c>
      <c r="I1004" s="99"/>
      <c r="J1004" s="37" t="str">
        <f t="shared" si="601"/>
        <v>rumus</v>
      </c>
      <c r="K1004" s="263"/>
      <c r="L1004" s="263"/>
      <c r="M1004" s="35"/>
    </row>
    <row r="1005" spans="1:13" ht="15" hidden="1" customHeight="1" x14ac:dyDescent="0.45">
      <c r="A1005" s="67"/>
      <c r="B1005" s="168" t="str">
        <f>"a. Semester Gasal "&amp;IF(C1006&lt;&gt;"",C1006,"")&amp;" :"</f>
        <v>a. Semester Gasal 2015/2016 :</v>
      </c>
      <c r="C1005" s="57"/>
      <c r="D1005" s="57"/>
      <c r="E1005" s="57"/>
      <c r="F1005" s="57"/>
      <c r="G1005" s="57"/>
      <c r="H1005" s="188"/>
      <c r="I1005" s="35"/>
      <c r="J1005" s="35"/>
      <c r="K1005" s="261">
        <f>IF(SUM(J1003:J1004)&gt;=10,10,SUM(J1003:J1004))</f>
        <v>0</v>
      </c>
      <c r="L1005" s="261" t="s">
        <v>284</v>
      </c>
      <c r="M1005" s="35"/>
    </row>
    <row r="1006" spans="1:13" hidden="1" x14ac:dyDescent="0.45">
      <c r="A1006" s="67">
        <v>1</v>
      </c>
      <c r="B1006" s="199" t="s">
        <v>100</v>
      </c>
      <c r="C1006" s="28" t="s">
        <v>252</v>
      </c>
      <c r="D1006" s="28" t="str">
        <f>IF(G1006&lt;&gt;"rumus","Orasi","")</f>
        <v/>
      </c>
      <c r="E1006" s="256" t="str">
        <f t="shared" ref="E1006:E1007" si="602">IF(I1006&lt;&gt;"",1,"")</f>
        <v/>
      </c>
      <c r="F1006" s="256" t="str">
        <f t="shared" ref="F1006:F1007" si="603">IF(I1006&lt;&gt;"",J1006,"")</f>
        <v/>
      </c>
      <c r="G1006" s="159" t="str">
        <f t="shared" ref="G1006:G1007" si="604">IF(J1006&lt;&gt;"rumus","1 x "&amp;J1006&amp;" = "&amp;J1006,"rumus")</f>
        <v>rumus</v>
      </c>
      <c r="H1006" s="28" t="s">
        <v>109</v>
      </c>
      <c r="I1006" s="99"/>
      <c r="J1006" s="37" t="str">
        <f t="shared" ref="J1006:J1007" si="605">IF(I1006="Menyampaikan Orasi Ilmiah",5,"rumus")</f>
        <v>rumus</v>
      </c>
      <c r="K1006" s="261"/>
      <c r="L1006" s="261"/>
      <c r="M1006" s="35"/>
    </row>
    <row r="1007" spans="1:13" hidden="1" x14ac:dyDescent="0.45">
      <c r="A1007" s="67">
        <v>2</v>
      </c>
      <c r="B1007" s="199" t="s">
        <v>100</v>
      </c>
      <c r="C1007" s="28" t="s">
        <v>252</v>
      </c>
      <c r="D1007" s="28" t="str">
        <f>IF(G1007&lt;&gt;"rumus","Orasi","")</f>
        <v/>
      </c>
      <c r="E1007" s="256" t="str">
        <f t="shared" si="602"/>
        <v/>
      </c>
      <c r="F1007" s="256" t="str">
        <f t="shared" si="603"/>
        <v/>
      </c>
      <c r="G1007" s="159" t="str">
        <f t="shared" si="604"/>
        <v>rumus</v>
      </c>
      <c r="H1007" s="39" t="s">
        <v>66</v>
      </c>
      <c r="I1007" s="99"/>
      <c r="J1007" s="37" t="str">
        <f t="shared" si="605"/>
        <v>rumus</v>
      </c>
      <c r="K1007" s="261"/>
      <c r="L1007" s="261"/>
      <c r="M1007" s="35"/>
    </row>
    <row r="1008" spans="1:13" ht="15" hidden="1" customHeight="1" x14ac:dyDescent="0.45">
      <c r="A1008" s="67"/>
      <c r="B1008" s="168" t="str">
        <f>"b. Semester Genap "&amp;IF(C1009&lt;&gt;"",C1009,"")&amp;" :"</f>
        <v>b. Semester Genap 2004/2005 :</v>
      </c>
      <c r="C1008" s="57"/>
      <c r="D1008" s="57"/>
      <c r="E1008" s="57"/>
      <c r="F1008" s="57"/>
      <c r="G1008" s="57"/>
      <c r="H1008" s="188"/>
      <c r="I1008" s="35"/>
      <c r="J1008" s="35"/>
      <c r="K1008" s="261">
        <f>IF(SUM(J1006:J1007)&gt;=10,10,SUM(J1006:J1007))</f>
        <v>0</v>
      </c>
      <c r="L1008" s="261" t="s">
        <v>284</v>
      </c>
      <c r="M1008" s="35"/>
    </row>
    <row r="1009" spans="1:13" hidden="1" x14ac:dyDescent="0.45">
      <c r="A1009" s="67">
        <v>1</v>
      </c>
      <c r="B1009" s="199" t="s">
        <v>100</v>
      </c>
      <c r="C1009" s="28" t="s">
        <v>141</v>
      </c>
      <c r="D1009" s="28" t="str">
        <f>IF(G1009&lt;&gt;"rumus","Orasi","")</f>
        <v/>
      </c>
      <c r="E1009" s="256" t="str">
        <f t="shared" ref="E1009:E1010" si="606">IF(I1009&lt;&gt;"",1,"")</f>
        <v/>
      </c>
      <c r="F1009" s="256" t="str">
        <f t="shared" ref="F1009:F1010" si="607">IF(I1009&lt;&gt;"",J1009,"")</f>
        <v/>
      </c>
      <c r="G1009" s="159" t="str">
        <f t="shared" ref="G1009:G1010" si="608">IF(J1009&lt;&gt;"rumus","1 x "&amp;J1009&amp;" = "&amp;J1009,"rumus")</f>
        <v>rumus</v>
      </c>
      <c r="H1009" s="28" t="s">
        <v>109</v>
      </c>
      <c r="I1009" s="99"/>
      <c r="J1009" s="37" t="str">
        <f t="shared" ref="J1009:J1010" si="609">IF(I1009="Menyampaikan Orasi Ilmiah",5,"rumus")</f>
        <v>rumus</v>
      </c>
      <c r="K1009" s="261"/>
      <c r="L1009" s="261"/>
      <c r="M1009" s="35"/>
    </row>
    <row r="1010" spans="1:13" hidden="1" x14ac:dyDescent="0.45">
      <c r="A1010" s="67">
        <v>2</v>
      </c>
      <c r="B1010" s="199" t="s">
        <v>100</v>
      </c>
      <c r="C1010" s="28" t="s">
        <v>141</v>
      </c>
      <c r="D1010" s="28" t="str">
        <f>IF(G1010&lt;&gt;"rumus","Orasi","")</f>
        <v/>
      </c>
      <c r="E1010" s="256" t="str">
        <f t="shared" si="606"/>
        <v/>
      </c>
      <c r="F1010" s="256" t="str">
        <f t="shared" si="607"/>
        <v/>
      </c>
      <c r="G1010" s="159" t="str">
        <f t="shared" si="608"/>
        <v>rumus</v>
      </c>
      <c r="H1010" s="39" t="s">
        <v>66</v>
      </c>
      <c r="I1010" s="99"/>
      <c r="J1010" s="37" t="str">
        <f t="shared" si="609"/>
        <v>rumus</v>
      </c>
      <c r="K1010" s="261"/>
      <c r="L1010" s="261"/>
      <c r="M1010" s="35"/>
    </row>
    <row r="1011" spans="1:13" ht="15" hidden="1" customHeight="1" x14ac:dyDescent="0.45">
      <c r="A1011" s="67"/>
      <c r="B1011" s="168" t="str">
        <f>"b. Semester Genap "&amp;IF(C1012&lt;&gt;"",C1012,"")&amp;" :"</f>
        <v>b. Semester Genap 2005/2006 :</v>
      </c>
      <c r="C1011" s="57"/>
      <c r="D1011" s="57"/>
      <c r="E1011" s="57"/>
      <c r="F1011" s="57"/>
      <c r="G1011" s="57"/>
      <c r="H1011" s="188"/>
      <c r="I1011" s="35"/>
      <c r="J1011" s="35"/>
      <c r="K1011" s="261">
        <f>IF(SUM(J1009:J1010)&gt;=10,10,SUM(J1009:J1010))</f>
        <v>0</v>
      </c>
      <c r="L1011" s="261" t="s">
        <v>284</v>
      </c>
      <c r="M1011" s="35"/>
    </row>
    <row r="1012" spans="1:13" hidden="1" x14ac:dyDescent="0.45">
      <c r="A1012" s="67">
        <v>1</v>
      </c>
      <c r="B1012" s="199" t="s">
        <v>100</v>
      </c>
      <c r="C1012" s="28" t="s">
        <v>142</v>
      </c>
      <c r="D1012" s="28" t="str">
        <f>IF(G1012&lt;&gt;"rumus","Orasi","")</f>
        <v/>
      </c>
      <c r="E1012" s="256" t="str">
        <f t="shared" ref="E1012:E1013" si="610">IF(I1012&lt;&gt;"",1,"")</f>
        <v/>
      </c>
      <c r="F1012" s="256" t="str">
        <f t="shared" ref="F1012:F1013" si="611">IF(I1012&lt;&gt;"",J1012,"")</f>
        <v/>
      </c>
      <c r="G1012" s="159" t="str">
        <f t="shared" ref="G1012:G1013" si="612">IF(J1012&lt;&gt;"rumus","1 x "&amp;J1012&amp;" = "&amp;J1012,"rumus")</f>
        <v>rumus</v>
      </c>
      <c r="H1012" s="28" t="s">
        <v>109</v>
      </c>
      <c r="I1012" s="99"/>
      <c r="J1012" s="37" t="str">
        <f t="shared" ref="J1012:J1013" si="613">IF(I1012="Menyampaikan Orasi Ilmiah",5,"rumus")</f>
        <v>rumus</v>
      </c>
      <c r="K1012" s="261"/>
      <c r="L1012" s="261"/>
      <c r="M1012" s="35"/>
    </row>
    <row r="1013" spans="1:13" hidden="1" x14ac:dyDescent="0.45">
      <c r="A1013" s="67">
        <v>2</v>
      </c>
      <c r="B1013" s="199" t="s">
        <v>100</v>
      </c>
      <c r="C1013" s="28" t="s">
        <v>142</v>
      </c>
      <c r="D1013" s="28" t="str">
        <f>IF(G1013&lt;&gt;"rumus","Orasi","")</f>
        <v/>
      </c>
      <c r="E1013" s="256" t="str">
        <f t="shared" si="610"/>
        <v/>
      </c>
      <c r="F1013" s="256" t="str">
        <f t="shared" si="611"/>
        <v/>
      </c>
      <c r="G1013" s="159" t="str">
        <f t="shared" si="612"/>
        <v>rumus</v>
      </c>
      <c r="H1013" s="39" t="s">
        <v>66</v>
      </c>
      <c r="I1013" s="99"/>
      <c r="J1013" s="37" t="str">
        <f t="shared" si="613"/>
        <v>rumus</v>
      </c>
      <c r="K1013" s="261"/>
      <c r="L1013" s="261"/>
      <c r="M1013" s="35"/>
    </row>
    <row r="1014" spans="1:13" ht="15" hidden="1" customHeight="1" x14ac:dyDescent="0.45">
      <c r="A1014" s="67"/>
      <c r="B1014" s="168" t="str">
        <f>"b. Semester Genap "&amp;IF(C1015&lt;&gt;"",C1015,"")&amp;" :"</f>
        <v>b. Semester Genap 2006/2007 :</v>
      </c>
      <c r="C1014" s="57"/>
      <c r="D1014" s="57"/>
      <c r="E1014" s="57"/>
      <c r="F1014" s="57"/>
      <c r="G1014" s="57"/>
      <c r="H1014" s="188"/>
      <c r="I1014" s="35"/>
      <c r="J1014" s="35"/>
      <c r="K1014" s="261">
        <f>IF(SUM(J1012:J1013)&gt;=10,10,SUM(J1012:J1013))</f>
        <v>0</v>
      </c>
      <c r="L1014" s="261" t="s">
        <v>284</v>
      </c>
      <c r="M1014" s="35"/>
    </row>
    <row r="1015" spans="1:13" s="140" customFormat="1" hidden="1" x14ac:dyDescent="0.45">
      <c r="A1015" s="67">
        <v>1</v>
      </c>
      <c r="B1015" s="199" t="s">
        <v>100</v>
      </c>
      <c r="C1015" s="172" t="s">
        <v>143</v>
      </c>
      <c r="D1015" s="28" t="str">
        <f>IF(G1015&lt;&gt;"rumus","Orasi","")</f>
        <v/>
      </c>
      <c r="E1015" s="256" t="str">
        <f t="shared" ref="E1015:E1016" si="614">IF(I1015&lt;&gt;"",1,"")</f>
        <v/>
      </c>
      <c r="F1015" s="256" t="str">
        <f t="shared" ref="F1015:F1016" si="615">IF(I1015&lt;&gt;"",J1015,"")</f>
        <v/>
      </c>
      <c r="G1015" s="159" t="str">
        <f t="shared" ref="G1015:G1016" si="616">IF(J1015&lt;&gt;"rumus","1 x "&amp;J1015&amp;" = "&amp;J1015,"rumus")</f>
        <v>rumus</v>
      </c>
      <c r="H1015" s="28" t="s">
        <v>109</v>
      </c>
      <c r="I1015" s="99"/>
      <c r="J1015" s="37" t="str">
        <f t="shared" ref="J1015:J1016" si="617">IF(I1015="Menyampaikan Orasi Ilmiah",5,"rumus")</f>
        <v>rumus</v>
      </c>
      <c r="K1015" s="263"/>
      <c r="L1015" s="263"/>
      <c r="M1015" s="175"/>
    </row>
    <row r="1016" spans="1:13" s="140" customFormat="1" hidden="1" x14ac:dyDescent="0.45">
      <c r="A1016" s="67">
        <v>2</v>
      </c>
      <c r="B1016" s="199" t="s">
        <v>100</v>
      </c>
      <c r="C1016" s="172" t="s">
        <v>143</v>
      </c>
      <c r="D1016" s="28" t="str">
        <f>IF(G1016&lt;&gt;"rumus","Orasi","")</f>
        <v/>
      </c>
      <c r="E1016" s="256" t="str">
        <f t="shared" si="614"/>
        <v/>
      </c>
      <c r="F1016" s="256" t="str">
        <f t="shared" si="615"/>
        <v/>
      </c>
      <c r="G1016" s="159" t="str">
        <f t="shared" si="616"/>
        <v>rumus</v>
      </c>
      <c r="H1016" s="39" t="s">
        <v>66</v>
      </c>
      <c r="I1016" s="99"/>
      <c r="J1016" s="37" t="str">
        <f t="shared" si="617"/>
        <v>rumus</v>
      </c>
      <c r="K1016" s="263"/>
      <c r="L1016" s="263"/>
      <c r="M1016" s="175"/>
    </row>
    <row r="1017" spans="1:13" ht="15" hidden="1" customHeight="1" x14ac:dyDescent="0.45">
      <c r="A1017" s="67"/>
      <c r="B1017" s="168" t="str">
        <f>"b. Semester Genap "&amp;IF(C1018&lt;&gt;"",C1018,"")&amp;" :"</f>
        <v>b. Semester Genap 2007/2008 :</v>
      </c>
      <c r="C1017" s="57"/>
      <c r="D1017" s="57"/>
      <c r="E1017" s="57"/>
      <c r="F1017" s="57"/>
      <c r="G1017" s="57"/>
      <c r="H1017" s="188"/>
      <c r="I1017" s="35"/>
      <c r="J1017" s="35"/>
      <c r="K1017" s="261">
        <f>IF(SUM(J1015:J1016)&gt;=10,10,SUM(J1015:J1016))</f>
        <v>0</v>
      </c>
      <c r="L1017" s="261" t="s">
        <v>284</v>
      </c>
      <c r="M1017" s="35"/>
    </row>
    <row r="1018" spans="1:13" hidden="1" x14ac:dyDescent="0.45">
      <c r="A1018" s="67">
        <v>1</v>
      </c>
      <c r="B1018" s="199" t="s">
        <v>100</v>
      </c>
      <c r="C1018" s="28" t="s">
        <v>144</v>
      </c>
      <c r="D1018" s="28" t="str">
        <f>IF(G1018&lt;&gt;"rumus","Orasi","")</f>
        <v/>
      </c>
      <c r="E1018" s="256" t="str">
        <f t="shared" ref="E1018:E1019" si="618">IF(I1018&lt;&gt;"",1,"")</f>
        <v/>
      </c>
      <c r="F1018" s="256" t="str">
        <f t="shared" ref="F1018:F1019" si="619">IF(I1018&lt;&gt;"",J1018,"")</f>
        <v/>
      </c>
      <c r="G1018" s="159" t="str">
        <f t="shared" ref="G1018:G1019" si="620">IF(J1018&lt;&gt;"rumus","1 x "&amp;J1018&amp;" = "&amp;J1018,"rumus")</f>
        <v>rumus</v>
      </c>
      <c r="H1018" s="28" t="s">
        <v>109</v>
      </c>
      <c r="I1018" s="99"/>
      <c r="J1018" s="37" t="str">
        <f t="shared" ref="J1018:J1019" si="621">IF(I1018="Menyampaikan Orasi Ilmiah",5,"rumus")</f>
        <v>rumus</v>
      </c>
      <c r="K1018" s="261"/>
      <c r="L1018" s="261"/>
      <c r="M1018" s="35"/>
    </row>
    <row r="1019" spans="1:13" hidden="1" x14ac:dyDescent="0.45">
      <c r="A1019" s="67">
        <v>2</v>
      </c>
      <c r="B1019" s="199" t="s">
        <v>100</v>
      </c>
      <c r="C1019" s="28" t="s">
        <v>144</v>
      </c>
      <c r="D1019" s="28" t="str">
        <f>IF(G1019&lt;&gt;"rumus","Orasi","")</f>
        <v/>
      </c>
      <c r="E1019" s="256" t="str">
        <f t="shared" si="618"/>
        <v/>
      </c>
      <c r="F1019" s="256" t="str">
        <f t="shared" si="619"/>
        <v/>
      </c>
      <c r="G1019" s="159" t="str">
        <f t="shared" si="620"/>
        <v>rumus</v>
      </c>
      <c r="H1019" s="39" t="s">
        <v>66</v>
      </c>
      <c r="I1019" s="99"/>
      <c r="J1019" s="37" t="str">
        <f t="shared" si="621"/>
        <v>rumus</v>
      </c>
      <c r="K1019" s="261"/>
      <c r="L1019" s="261"/>
      <c r="M1019" s="35"/>
    </row>
    <row r="1020" spans="1:13" ht="15" hidden="1" customHeight="1" x14ac:dyDescent="0.45">
      <c r="A1020" s="67"/>
      <c r="B1020" s="168" t="str">
        <f>"b. Semester Genap "&amp;IF(C1021&lt;&gt;"",C1021,"")&amp;" :"</f>
        <v>b. Semester Genap 2008/2009 :</v>
      </c>
      <c r="C1020" s="57"/>
      <c r="D1020" s="57"/>
      <c r="E1020" s="57"/>
      <c r="F1020" s="57"/>
      <c r="G1020" s="57"/>
      <c r="H1020" s="188"/>
      <c r="I1020" s="35"/>
      <c r="J1020" s="35"/>
      <c r="K1020" s="261">
        <f>IF(SUM(J1018:J1019)&gt;=10,10,SUM(J1018:J1019))</f>
        <v>0</v>
      </c>
      <c r="L1020" s="261" t="s">
        <v>284</v>
      </c>
      <c r="M1020" s="35"/>
    </row>
    <row r="1021" spans="1:13" s="140" customFormat="1" hidden="1" x14ac:dyDescent="0.45">
      <c r="A1021" s="67">
        <v>1</v>
      </c>
      <c r="B1021" s="199" t="s">
        <v>100</v>
      </c>
      <c r="C1021" s="172" t="s">
        <v>145</v>
      </c>
      <c r="D1021" s="28" t="str">
        <f>IF(G1021&lt;&gt;"rumus","Orasi","")</f>
        <v/>
      </c>
      <c r="E1021" s="256" t="str">
        <f t="shared" ref="E1021:E1022" si="622">IF(I1021&lt;&gt;"",1,"")</f>
        <v/>
      </c>
      <c r="F1021" s="256" t="str">
        <f t="shared" ref="F1021:F1022" si="623">IF(I1021&lt;&gt;"",J1021,"")</f>
        <v/>
      </c>
      <c r="G1021" s="159" t="str">
        <f t="shared" ref="G1021:G1022" si="624">IF(J1021&lt;&gt;"rumus","1 x "&amp;J1021&amp;" = "&amp;J1021,"rumus")</f>
        <v>rumus</v>
      </c>
      <c r="H1021" s="28" t="s">
        <v>109</v>
      </c>
      <c r="I1021" s="99"/>
      <c r="J1021" s="37" t="str">
        <f t="shared" ref="J1021:J1022" si="625">IF(I1021="Menyampaikan Orasi Ilmiah",5,"rumus")</f>
        <v>rumus</v>
      </c>
      <c r="K1021" s="263"/>
      <c r="L1021" s="263"/>
      <c r="M1021" s="175"/>
    </row>
    <row r="1022" spans="1:13" s="140" customFormat="1" hidden="1" x14ac:dyDescent="0.45">
      <c r="A1022" s="67">
        <v>2</v>
      </c>
      <c r="B1022" s="199" t="s">
        <v>100</v>
      </c>
      <c r="C1022" s="172" t="s">
        <v>145</v>
      </c>
      <c r="D1022" s="28" t="str">
        <f>IF(G1022&lt;&gt;"rumus","Orasi","")</f>
        <v/>
      </c>
      <c r="E1022" s="256" t="str">
        <f t="shared" si="622"/>
        <v/>
      </c>
      <c r="F1022" s="256" t="str">
        <f t="shared" si="623"/>
        <v/>
      </c>
      <c r="G1022" s="159" t="str">
        <f t="shared" si="624"/>
        <v>rumus</v>
      </c>
      <c r="H1022" s="39" t="s">
        <v>66</v>
      </c>
      <c r="I1022" s="99"/>
      <c r="J1022" s="37" t="str">
        <f t="shared" si="625"/>
        <v>rumus</v>
      </c>
      <c r="K1022" s="263"/>
      <c r="L1022" s="263"/>
      <c r="M1022" s="175"/>
    </row>
    <row r="1023" spans="1:13" ht="15" hidden="1" customHeight="1" x14ac:dyDescent="0.45">
      <c r="A1023" s="67"/>
      <c r="B1023" s="168" t="str">
        <f>"b. Semester Genap "&amp;IF(C1024&lt;&gt;"",C1024,"")&amp;" :"</f>
        <v>b. Semester Genap 2009/2010 :</v>
      </c>
      <c r="C1023" s="57"/>
      <c r="D1023" s="57"/>
      <c r="E1023" s="57"/>
      <c r="F1023" s="57"/>
      <c r="G1023" s="57"/>
      <c r="H1023" s="188"/>
      <c r="I1023" s="35"/>
      <c r="J1023" s="35"/>
      <c r="K1023" s="261">
        <f>IF(SUM(J1021:J1022)&gt;=10,10,SUM(J1021:J1022))</f>
        <v>0</v>
      </c>
      <c r="L1023" s="261" t="s">
        <v>284</v>
      </c>
      <c r="M1023" s="35"/>
    </row>
    <row r="1024" spans="1:13" s="140" customFormat="1" hidden="1" x14ac:dyDescent="0.45">
      <c r="A1024" s="67">
        <v>1</v>
      </c>
      <c r="B1024" s="199" t="s">
        <v>100</v>
      </c>
      <c r="C1024" s="172" t="s">
        <v>146</v>
      </c>
      <c r="D1024" s="28" t="str">
        <f>IF(G1024&lt;&gt;"rumus","Orasi","")</f>
        <v/>
      </c>
      <c r="E1024" s="256" t="str">
        <f t="shared" ref="E1024:E1025" si="626">IF(I1024&lt;&gt;"",1,"")</f>
        <v/>
      </c>
      <c r="F1024" s="256" t="str">
        <f t="shared" ref="F1024:F1025" si="627">IF(I1024&lt;&gt;"",J1024,"")</f>
        <v/>
      </c>
      <c r="G1024" s="159" t="str">
        <f t="shared" ref="G1024:G1025" si="628">IF(J1024&lt;&gt;"rumus","1 x "&amp;J1024&amp;" = "&amp;J1024,"rumus")</f>
        <v>rumus</v>
      </c>
      <c r="H1024" s="28" t="s">
        <v>109</v>
      </c>
      <c r="I1024" s="99"/>
      <c r="J1024" s="37" t="str">
        <f t="shared" ref="J1024:J1025" si="629">IF(I1024="Menyampaikan Orasi Ilmiah",5,"rumus")</f>
        <v>rumus</v>
      </c>
      <c r="K1024" s="261"/>
      <c r="L1024" s="261"/>
      <c r="M1024" s="175"/>
    </row>
    <row r="1025" spans="1:13" s="140" customFormat="1" hidden="1" x14ac:dyDescent="0.45">
      <c r="A1025" s="67">
        <v>2</v>
      </c>
      <c r="B1025" s="199" t="s">
        <v>100</v>
      </c>
      <c r="C1025" s="172" t="s">
        <v>146</v>
      </c>
      <c r="D1025" s="28" t="str">
        <f>IF(G1025&lt;&gt;"rumus","Orasi","")</f>
        <v/>
      </c>
      <c r="E1025" s="256" t="str">
        <f t="shared" si="626"/>
        <v/>
      </c>
      <c r="F1025" s="256" t="str">
        <f t="shared" si="627"/>
        <v/>
      </c>
      <c r="G1025" s="159" t="str">
        <f t="shared" si="628"/>
        <v>rumus</v>
      </c>
      <c r="H1025" s="39" t="s">
        <v>66</v>
      </c>
      <c r="I1025" s="99"/>
      <c r="J1025" s="37" t="str">
        <f t="shared" si="629"/>
        <v>rumus</v>
      </c>
      <c r="K1025" s="261"/>
      <c r="L1025" s="261"/>
      <c r="M1025" s="175"/>
    </row>
    <row r="1026" spans="1:13" ht="15" hidden="1" customHeight="1" x14ac:dyDescent="0.45">
      <c r="A1026" s="67"/>
      <c r="B1026" s="168" t="str">
        <f>"b. Semester Genap "&amp;IF(C1027&lt;&gt;"",C1027,"")&amp;" :"</f>
        <v>b. Semester Genap 2010/2011 :</v>
      </c>
      <c r="C1026" s="57"/>
      <c r="D1026" s="57"/>
      <c r="E1026" s="57"/>
      <c r="F1026" s="57"/>
      <c r="G1026" s="57"/>
      <c r="H1026" s="188"/>
      <c r="I1026" s="35"/>
      <c r="J1026" s="35"/>
      <c r="K1026" s="261">
        <f>IF(SUM(J1024:J1025)&gt;=10,10,SUM(J1024:J1025))</f>
        <v>0</v>
      </c>
      <c r="L1026" s="261" t="s">
        <v>284</v>
      </c>
      <c r="M1026" s="35"/>
    </row>
    <row r="1027" spans="1:13" hidden="1" x14ac:dyDescent="0.45">
      <c r="A1027" s="67">
        <v>1</v>
      </c>
      <c r="B1027" s="199" t="s">
        <v>100</v>
      </c>
      <c r="C1027" s="28" t="s">
        <v>108</v>
      </c>
      <c r="D1027" s="28" t="str">
        <f>IF(G1027&lt;&gt;"rumus","Orasi","")</f>
        <v/>
      </c>
      <c r="E1027" s="256" t="str">
        <f t="shared" ref="E1027:E1028" si="630">IF(I1027&lt;&gt;"",1,"")</f>
        <v/>
      </c>
      <c r="F1027" s="256" t="str">
        <f t="shared" ref="F1027:F1028" si="631">IF(I1027&lt;&gt;"",J1027,"")</f>
        <v/>
      </c>
      <c r="G1027" s="159" t="str">
        <f t="shared" ref="G1027:G1028" si="632">IF(J1027&lt;&gt;"rumus","1 x "&amp;J1027&amp;" = "&amp;J1027,"rumus")</f>
        <v>rumus</v>
      </c>
      <c r="H1027" s="28" t="s">
        <v>109</v>
      </c>
      <c r="I1027" s="99"/>
      <c r="J1027" s="37" t="str">
        <f t="shared" ref="J1027:J1028" si="633">IF(I1027="Menyampaikan Orasi Ilmiah",5,"rumus")</f>
        <v>rumus</v>
      </c>
      <c r="K1027" s="263"/>
      <c r="L1027" s="263"/>
      <c r="M1027" s="35"/>
    </row>
    <row r="1028" spans="1:13" hidden="1" x14ac:dyDescent="0.45">
      <c r="A1028" s="67">
        <v>2</v>
      </c>
      <c r="B1028" s="199" t="s">
        <v>100</v>
      </c>
      <c r="C1028" s="28" t="s">
        <v>108</v>
      </c>
      <c r="D1028" s="28" t="str">
        <f>IF(G1028&lt;&gt;"rumus","Orasi","")</f>
        <v/>
      </c>
      <c r="E1028" s="256" t="str">
        <f t="shared" si="630"/>
        <v/>
      </c>
      <c r="F1028" s="256" t="str">
        <f t="shared" si="631"/>
        <v/>
      </c>
      <c r="G1028" s="159" t="str">
        <f t="shared" si="632"/>
        <v>rumus</v>
      </c>
      <c r="H1028" s="39" t="s">
        <v>66</v>
      </c>
      <c r="I1028" s="99"/>
      <c r="J1028" s="37" t="str">
        <f t="shared" si="633"/>
        <v>rumus</v>
      </c>
      <c r="K1028" s="263"/>
      <c r="L1028" s="263"/>
      <c r="M1028" s="35"/>
    </row>
    <row r="1029" spans="1:13" ht="15" hidden="1" customHeight="1" x14ac:dyDescent="0.45">
      <c r="A1029" s="67"/>
      <c r="B1029" s="168" t="str">
        <f>"b. Semester Genap "&amp;IF(C1030&lt;&gt;"",C1030,"")&amp;" :"</f>
        <v>b. Semester Genap 2011/2012 :</v>
      </c>
      <c r="C1029" s="57"/>
      <c r="D1029" s="57"/>
      <c r="E1029" s="57"/>
      <c r="F1029" s="57"/>
      <c r="G1029" s="57"/>
      <c r="H1029" s="188"/>
      <c r="I1029" s="35"/>
      <c r="J1029" s="35"/>
      <c r="K1029" s="261">
        <f>IF(SUM(J1027:J1028)&gt;=10,10,SUM(J1027:J1028))</f>
        <v>0</v>
      </c>
      <c r="L1029" s="261" t="s">
        <v>284</v>
      </c>
      <c r="M1029" s="35"/>
    </row>
    <row r="1030" spans="1:13" hidden="1" x14ac:dyDescent="0.45">
      <c r="A1030" s="67">
        <v>1</v>
      </c>
      <c r="B1030" s="199" t="s">
        <v>100</v>
      </c>
      <c r="C1030" s="28" t="s">
        <v>112</v>
      </c>
      <c r="D1030" s="28" t="str">
        <f>IF(G1030&lt;&gt;"rumus","Orasi","")</f>
        <v/>
      </c>
      <c r="E1030" s="256" t="str">
        <f t="shared" ref="E1030:E1031" si="634">IF(I1030&lt;&gt;"",1,"")</f>
        <v/>
      </c>
      <c r="F1030" s="256" t="str">
        <f t="shared" ref="F1030:F1031" si="635">IF(I1030&lt;&gt;"",J1030,"")</f>
        <v/>
      </c>
      <c r="G1030" s="159" t="str">
        <f t="shared" ref="G1030:G1031" si="636">IF(J1030&lt;&gt;"rumus","1 x "&amp;J1030&amp;" = "&amp;J1030,"rumus")</f>
        <v>rumus</v>
      </c>
      <c r="H1030" s="28" t="s">
        <v>109</v>
      </c>
      <c r="I1030" s="99"/>
      <c r="J1030" s="37" t="str">
        <f t="shared" ref="J1030:J1031" si="637">IF(I1030="Menyampaikan Orasi Ilmiah",5,"rumus")</f>
        <v>rumus</v>
      </c>
      <c r="K1030" s="261"/>
      <c r="L1030" s="261"/>
      <c r="M1030" s="35"/>
    </row>
    <row r="1031" spans="1:13" hidden="1" x14ac:dyDescent="0.45">
      <c r="A1031" s="67">
        <v>2</v>
      </c>
      <c r="B1031" s="199" t="s">
        <v>100</v>
      </c>
      <c r="C1031" s="28" t="s">
        <v>112</v>
      </c>
      <c r="D1031" s="28" t="str">
        <f>IF(G1031&lt;&gt;"rumus","Orasi","")</f>
        <v/>
      </c>
      <c r="E1031" s="256" t="str">
        <f t="shared" si="634"/>
        <v/>
      </c>
      <c r="F1031" s="256" t="str">
        <f t="shared" si="635"/>
        <v/>
      </c>
      <c r="G1031" s="159" t="str">
        <f t="shared" si="636"/>
        <v>rumus</v>
      </c>
      <c r="H1031" s="39" t="s">
        <v>66</v>
      </c>
      <c r="I1031" s="99"/>
      <c r="J1031" s="37" t="str">
        <f t="shared" si="637"/>
        <v>rumus</v>
      </c>
      <c r="K1031" s="261"/>
      <c r="L1031" s="261"/>
      <c r="M1031" s="35"/>
    </row>
    <row r="1032" spans="1:13" ht="15" hidden="1" customHeight="1" x14ac:dyDescent="0.45">
      <c r="A1032" s="67"/>
      <c r="B1032" s="168" t="str">
        <f>"b. Semester Genap "&amp;IF(C1033&lt;&gt;"",C1033,"")&amp;" :"</f>
        <v>b. Semester Genap 2012/2013 :</v>
      </c>
      <c r="C1032" s="57"/>
      <c r="D1032" s="57"/>
      <c r="E1032" s="57"/>
      <c r="F1032" s="57"/>
      <c r="G1032" s="57"/>
      <c r="H1032" s="188"/>
      <c r="I1032" s="35"/>
      <c r="J1032" s="35"/>
      <c r="K1032" s="261">
        <f>IF(SUM(J1030:J1031)&gt;=10,10,SUM(J1030:J1031))</f>
        <v>0</v>
      </c>
      <c r="L1032" s="261" t="s">
        <v>284</v>
      </c>
      <c r="M1032" s="35"/>
    </row>
    <row r="1033" spans="1:13" hidden="1" x14ac:dyDescent="0.45">
      <c r="A1033" s="67">
        <v>1</v>
      </c>
      <c r="B1033" s="199" t="s">
        <v>100</v>
      </c>
      <c r="C1033" s="28" t="s">
        <v>113</v>
      </c>
      <c r="D1033" s="28" t="str">
        <f>IF(G1033&lt;&gt;"rumus","Orasi","")</f>
        <v/>
      </c>
      <c r="E1033" s="256" t="str">
        <f t="shared" ref="E1033:E1034" si="638">IF(I1033&lt;&gt;"",1,"")</f>
        <v/>
      </c>
      <c r="F1033" s="256" t="str">
        <f t="shared" ref="F1033:F1034" si="639">IF(I1033&lt;&gt;"",J1033,"")</f>
        <v/>
      </c>
      <c r="G1033" s="159" t="str">
        <f t="shared" ref="G1033:G1034" si="640">IF(J1033&lt;&gt;"rumus","1 x "&amp;J1033&amp;" = "&amp;J1033,"rumus")</f>
        <v>rumus</v>
      </c>
      <c r="H1033" s="28" t="s">
        <v>109</v>
      </c>
      <c r="I1033" s="99"/>
      <c r="J1033" s="37" t="str">
        <f t="shared" ref="J1033:J1034" si="641">IF(I1033="Menyampaikan Orasi Ilmiah",5,"rumus")</f>
        <v>rumus</v>
      </c>
      <c r="K1033" s="261"/>
      <c r="L1033" s="261"/>
      <c r="M1033" s="35"/>
    </row>
    <row r="1034" spans="1:13" hidden="1" x14ac:dyDescent="0.45">
      <c r="A1034" s="67">
        <v>2</v>
      </c>
      <c r="B1034" s="199" t="s">
        <v>100</v>
      </c>
      <c r="C1034" s="28" t="s">
        <v>113</v>
      </c>
      <c r="D1034" s="28" t="str">
        <f>IF(G1034&lt;&gt;"rumus","Orasi","")</f>
        <v/>
      </c>
      <c r="E1034" s="256" t="str">
        <f t="shared" si="638"/>
        <v/>
      </c>
      <c r="F1034" s="256" t="str">
        <f t="shared" si="639"/>
        <v/>
      </c>
      <c r="G1034" s="159" t="str">
        <f t="shared" si="640"/>
        <v>rumus</v>
      </c>
      <c r="H1034" s="39" t="s">
        <v>66</v>
      </c>
      <c r="I1034" s="99"/>
      <c r="J1034" s="37" t="str">
        <f t="shared" si="641"/>
        <v>rumus</v>
      </c>
      <c r="K1034" s="261"/>
      <c r="L1034" s="261"/>
      <c r="M1034" s="35"/>
    </row>
    <row r="1035" spans="1:13" ht="15" hidden="1" customHeight="1" x14ac:dyDescent="0.45">
      <c r="A1035" s="67"/>
      <c r="B1035" s="168" t="str">
        <f>"b. Semester Genap "&amp;IF(C1036&lt;&gt;"",C1036,"")&amp;" :"</f>
        <v>b. Semester Genap 2013/2014 :</v>
      </c>
      <c r="C1035" s="57"/>
      <c r="D1035" s="57"/>
      <c r="E1035" s="57"/>
      <c r="F1035" s="57"/>
      <c r="G1035" s="57"/>
      <c r="H1035" s="188"/>
      <c r="I1035" s="35"/>
      <c r="J1035" s="35"/>
      <c r="K1035" s="261">
        <f>IF(SUM(J1033:J1034)&gt;=10,10,SUM(J1033:J1034))</f>
        <v>0</v>
      </c>
      <c r="L1035" s="261" t="s">
        <v>284</v>
      </c>
      <c r="M1035" s="35"/>
    </row>
    <row r="1036" spans="1:13" hidden="1" x14ac:dyDescent="0.45">
      <c r="A1036" s="67">
        <v>1</v>
      </c>
      <c r="B1036" s="199" t="s">
        <v>100</v>
      </c>
      <c r="C1036" s="28" t="s">
        <v>114</v>
      </c>
      <c r="D1036" s="28" t="str">
        <f>IF(G1036&lt;&gt;"rumus","Orasi","")</f>
        <v/>
      </c>
      <c r="E1036" s="256" t="str">
        <f t="shared" ref="E1036:E1037" si="642">IF(I1036&lt;&gt;"",1,"")</f>
        <v/>
      </c>
      <c r="F1036" s="256" t="str">
        <f t="shared" ref="F1036:F1037" si="643">IF(I1036&lt;&gt;"",J1036,"")</f>
        <v/>
      </c>
      <c r="G1036" s="159" t="str">
        <f t="shared" ref="G1036:G1037" si="644">IF(J1036&lt;&gt;"rumus","1 x "&amp;J1036&amp;" = "&amp;J1036,"rumus")</f>
        <v>rumus</v>
      </c>
      <c r="H1036" s="28" t="s">
        <v>109</v>
      </c>
      <c r="I1036" s="99"/>
      <c r="J1036" s="37" t="str">
        <f t="shared" ref="J1036:J1037" si="645">IF(I1036="Menyampaikan Orasi Ilmiah",5,"rumus")</f>
        <v>rumus</v>
      </c>
      <c r="K1036" s="261"/>
      <c r="L1036" s="261"/>
      <c r="M1036" s="35"/>
    </row>
    <row r="1037" spans="1:13" hidden="1" x14ac:dyDescent="0.45">
      <c r="A1037" s="67">
        <v>2</v>
      </c>
      <c r="B1037" s="199" t="s">
        <v>100</v>
      </c>
      <c r="C1037" s="28" t="s">
        <v>114</v>
      </c>
      <c r="D1037" s="28" t="str">
        <f>IF(G1037&lt;&gt;"rumus","Orasi","")</f>
        <v/>
      </c>
      <c r="E1037" s="256" t="str">
        <f t="shared" si="642"/>
        <v/>
      </c>
      <c r="F1037" s="256" t="str">
        <f t="shared" si="643"/>
        <v/>
      </c>
      <c r="G1037" s="159" t="str">
        <f t="shared" si="644"/>
        <v>rumus</v>
      </c>
      <c r="H1037" s="39" t="s">
        <v>66</v>
      </c>
      <c r="I1037" s="99"/>
      <c r="J1037" s="37" t="str">
        <f t="shared" si="645"/>
        <v>rumus</v>
      </c>
      <c r="K1037" s="261"/>
      <c r="L1037" s="261"/>
      <c r="M1037" s="35"/>
    </row>
    <row r="1038" spans="1:13" ht="15" hidden="1" customHeight="1" x14ac:dyDescent="0.45">
      <c r="A1038" s="67"/>
      <c r="B1038" s="168" t="str">
        <f>"b. Semester Genap "&amp;IF(C1039&lt;&gt;"",C1039,"")&amp;" :"</f>
        <v>b. Semester Genap 2014/2015 :</v>
      </c>
      <c r="C1038" s="57"/>
      <c r="D1038" s="57"/>
      <c r="E1038" s="57"/>
      <c r="F1038" s="57"/>
      <c r="G1038" s="57"/>
      <c r="H1038" s="188"/>
      <c r="I1038" s="35"/>
      <c r="J1038" s="35"/>
      <c r="K1038" s="261">
        <f>IF(SUM(J1036:J1037)&gt;=10,10,SUM(J1036:J1037))</f>
        <v>0</v>
      </c>
      <c r="L1038" s="261" t="s">
        <v>284</v>
      </c>
      <c r="M1038" s="35"/>
    </row>
    <row r="1039" spans="1:13" hidden="1" x14ac:dyDescent="0.45">
      <c r="A1039" s="67">
        <v>1</v>
      </c>
      <c r="B1039" s="199" t="s">
        <v>100</v>
      </c>
      <c r="C1039" s="28" t="s">
        <v>251</v>
      </c>
      <c r="D1039" s="28" t="str">
        <f>IF(G1039&lt;&gt;"rumus","Orasi","")</f>
        <v/>
      </c>
      <c r="E1039" s="256" t="str">
        <f t="shared" ref="E1039:E1040" si="646">IF(I1039&lt;&gt;"",1,"")</f>
        <v/>
      </c>
      <c r="F1039" s="256" t="str">
        <f t="shared" ref="F1039:F1040" si="647">IF(I1039&lt;&gt;"",J1039,"")</f>
        <v/>
      </c>
      <c r="G1039" s="159" t="str">
        <f t="shared" ref="G1039:G1040" si="648">IF(J1039&lt;&gt;"rumus","1 x "&amp;J1039&amp;" = "&amp;J1039,"rumus")</f>
        <v>rumus</v>
      </c>
      <c r="H1039" s="28" t="s">
        <v>109</v>
      </c>
      <c r="I1039" s="99"/>
      <c r="J1039" s="37" t="str">
        <f t="shared" ref="J1039:J1040" si="649">IF(I1039="Menyampaikan Orasi Ilmiah",5,"rumus")</f>
        <v>rumus</v>
      </c>
      <c r="K1039" s="263"/>
      <c r="L1039" s="263"/>
      <c r="M1039" s="35"/>
    </row>
    <row r="1040" spans="1:13" hidden="1" x14ac:dyDescent="0.45">
      <c r="A1040" s="67">
        <v>2</v>
      </c>
      <c r="B1040" s="199" t="s">
        <v>100</v>
      </c>
      <c r="C1040" s="28" t="s">
        <v>251</v>
      </c>
      <c r="D1040" s="28" t="str">
        <f>IF(G1040&lt;&gt;"rumus","Orasi","")</f>
        <v/>
      </c>
      <c r="E1040" s="256" t="str">
        <f t="shared" si="646"/>
        <v/>
      </c>
      <c r="F1040" s="256" t="str">
        <f t="shared" si="647"/>
        <v/>
      </c>
      <c r="G1040" s="159" t="str">
        <f t="shared" si="648"/>
        <v>rumus</v>
      </c>
      <c r="H1040" s="39" t="s">
        <v>66</v>
      </c>
      <c r="I1040" s="99"/>
      <c r="J1040" s="37" t="str">
        <f t="shared" si="649"/>
        <v>rumus</v>
      </c>
      <c r="K1040" s="263"/>
      <c r="L1040" s="263"/>
      <c r="M1040" s="35"/>
    </row>
    <row r="1041" spans="1:13" ht="15" hidden="1" customHeight="1" x14ac:dyDescent="0.45">
      <c r="A1041" s="67"/>
      <c r="B1041" s="168" t="str">
        <f>"b. Semester Genap "&amp;IF(C1042&lt;&gt;"",C1042,"")&amp;" :"</f>
        <v>b. Semester Genap 2015/2016 :</v>
      </c>
      <c r="C1041" s="57"/>
      <c r="D1041" s="57"/>
      <c r="E1041" s="57"/>
      <c r="F1041" s="57"/>
      <c r="G1041" s="57"/>
      <c r="H1041" s="188"/>
      <c r="I1041" s="35"/>
      <c r="J1041" s="35"/>
      <c r="K1041" s="261">
        <f>IF(SUM(J1039:J1040)&gt;=10,10,SUM(J1039:J1040))</f>
        <v>0</v>
      </c>
      <c r="L1041" s="261" t="s">
        <v>284</v>
      </c>
      <c r="M1041" s="35"/>
    </row>
    <row r="1042" spans="1:13" hidden="1" x14ac:dyDescent="0.45">
      <c r="A1042" s="67">
        <v>1</v>
      </c>
      <c r="B1042" s="199" t="s">
        <v>100</v>
      </c>
      <c r="C1042" s="28" t="s">
        <v>252</v>
      </c>
      <c r="D1042" s="28" t="str">
        <f>IF(G1042&lt;&gt;"rumus","Orasi","")</f>
        <v/>
      </c>
      <c r="E1042" s="256" t="str">
        <f t="shared" ref="E1042:E1043" si="650">IF(I1042&lt;&gt;"",1,"")</f>
        <v/>
      </c>
      <c r="F1042" s="256" t="str">
        <f t="shared" ref="F1042:F1043" si="651">IF(I1042&lt;&gt;"",J1042,"")</f>
        <v/>
      </c>
      <c r="G1042" s="159" t="str">
        <f t="shared" ref="G1042:G1043" si="652">IF(J1042&lt;&gt;"rumus","1 x "&amp;J1042&amp;" = "&amp;J1042,"rumus")</f>
        <v>rumus</v>
      </c>
      <c r="H1042" s="28" t="s">
        <v>109</v>
      </c>
      <c r="I1042" s="99"/>
      <c r="J1042" s="37" t="str">
        <f t="shared" ref="J1042:J1043" si="653">IF(I1042="Menyampaikan Orasi Ilmiah",5,"rumus")</f>
        <v>rumus</v>
      </c>
      <c r="K1042" s="261"/>
      <c r="L1042" s="261"/>
      <c r="M1042" s="35"/>
    </row>
    <row r="1043" spans="1:13" hidden="1" x14ac:dyDescent="0.45">
      <c r="A1043" s="67">
        <v>2</v>
      </c>
      <c r="B1043" s="199" t="s">
        <v>100</v>
      </c>
      <c r="C1043" s="28" t="s">
        <v>252</v>
      </c>
      <c r="D1043" s="28" t="str">
        <f>IF(G1043&lt;&gt;"rumus","Orasi","")</f>
        <v/>
      </c>
      <c r="E1043" s="256" t="str">
        <f t="shared" si="650"/>
        <v/>
      </c>
      <c r="F1043" s="256" t="str">
        <f t="shared" si="651"/>
        <v/>
      </c>
      <c r="G1043" s="159" t="str">
        <f t="shared" si="652"/>
        <v>rumus</v>
      </c>
      <c r="H1043" s="39" t="s">
        <v>66</v>
      </c>
      <c r="I1043" s="99"/>
      <c r="J1043" s="37" t="str">
        <f t="shared" si="653"/>
        <v>rumus</v>
      </c>
      <c r="K1043" s="261"/>
      <c r="L1043" s="261"/>
      <c r="M1043" s="35"/>
    </row>
    <row r="1044" spans="1:13" s="41" customFormat="1" ht="15" customHeight="1" x14ac:dyDescent="0.45">
      <c r="A1044" s="70"/>
      <c r="B1044" s="968" t="s">
        <v>67</v>
      </c>
      <c r="C1044" s="969"/>
      <c r="D1044" s="970"/>
      <c r="E1044" s="248"/>
      <c r="F1044" s="252"/>
      <c r="G1044" s="61">
        <f>SUM(K975:K1044)</f>
        <v>0</v>
      </c>
      <c r="H1044" s="39"/>
      <c r="I1044" s="89"/>
      <c r="J1044" s="107"/>
      <c r="K1044" s="261">
        <f>IF(SUM(J1042:J1043)&gt;=10,10,SUM(J1042:J1043))</f>
        <v>0</v>
      </c>
      <c r="L1044" s="261" t="s">
        <v>284</v>
      </c>
      <c r="M1044" s="89"/>
    </row>
    <row r="1045" spans="1:13" s="41" customFormat="1" ht="15" customHeight="1" x14ac:dyDescent="0.45">
      <c r="A1045" s="85" t="s">
        <v>125</v>
      </c>
      <c r="B1045" s="71" t="s">
        <v>22</v>
      </c>
      <c r="C1045" s="65"/>
      <c r="D1045" s="65"/>
      <c r="E1045" s="65"/>
      <c r="F1045" s="65"/>
      <c r="G1045" s="65"/>
      <c r="H1045" s="66"/>
      <c r="I1045" s="89"/>
      <c r="J1045" s="89"/>
      <c r="K1045" s="89"/>
      <c r="L1045" s="89"/>
      <c r="M1045" s="89"/>
    </row>
    <row r="1046" spans="1:13" s="41" customFormat="1" ht="15" hidden="1" customHeight="1" x14ac:dyDescent="0.45">
      <c r="A1046" s="67"/>
      <c r="B1046" s="262" t="s">
        <v>110</v>
      </c>
      <c r="C1046" s="57"/>
      <c r="D1046" s="57"/>
      <c r="E1046" s="57"/>
      <c r="F1046" s="57"/>
      <c r="G1046" s="57"/>
      <c r="H1046" s="58"/>
      <c r="I1046" s="132"/>
      <c r="J1046" s="89"/>
      <c r="K1046" s="89"/>
      <c r="L1046" s="89"/>
      <c r="M1046" s="89"/>
    </row>
    <row r="1047" spans="1:13" s="41" customFormat="1" ht="15" hidden="1" customHeight="1" x14ac:dyDescent="0.45">
      <c r="A1047" s="67">
        <v>1</v>
      </c>
      <c r="B1047" s="163" t="s">
        <v>101</v>
      </c>
      <c r="C1047" s="28" t="s">
        <v>141</v>
      </c>
      <c r="D1047" s="28" t="str">
        <f>IF(G1047&lt;&gt;"rumus","Semester","")</f>
        <v/>
      </c>
      <c r="E1047" s="256" t="str">
        <f t="shared" ref="E1047" si="654">IF(I1047&lt;&gt;"",1,"")</f>
        <v/>
      </c>
      <c r="F1047" s="256" t="str">
        <f t="shared" ref="F1047" si="655">IF(I1047&lt;&gt;"",J1047,"")</f>
        <v/>
      </c>
      <c r="G1047" s="159" t="str">
        <f t="shared" ref="G1047:G1058" si="656">IF(J1047&lt;&gt;"rumus","1 x "&amp;J1047&amp;" = "&amp;J1047,"rumus")</f>
        <v>rumus</v>
      </c>
      <c r="H1047" s="28" t="s">
        <v>109</v>
      </c>
      <c r="I1047" s="95"/>
      <c r="J1047" s="37" t="str">
        <f>IF(I1047&lt;&gt;"",IF(I1047="a.Rektor",6,IF(I1047="b.Pembantu rektor/dekan/direktur program pasca sarjana",5,IF(I1047="c.Ketua sekolah tinggi/pembantu dekan/asisten direktur program pasca sarjana/direktur politeknik",4,IF(I1047="d.Pembantu ketua sekolah tinggi/pembantu direktur politeknik",4,IF(I1047="e.Direktur akademi",4,IF(I1047="f.Pembantu direktur akademi/ketua jurusan/bagian pada universitas/institut/sekolah tinggi",3,IF(I1047="g.Ketua jurusan pada politeknik/akademi/sekretaris jurusan/bagian pada universitas/institu/sekolah tinggi",3,IF(I1047="h.Sekretaris jurusan pada politeknik/akademi dan kepala laboratorium universitas/institut/sekolah tinggi/politeknik/akademi",3,"")))))))),"rumus")</f>
        <v>rumus</v>
      </c>
      <c r="K1047" s="89"/>
      <c r="L1047" s="89"/>
      <c r="M1047" s="89"/>
    </row>
    <row r="1048" spans="1:13" s="41" customFormat="1" ht="15" hidden="1" customHeight="1" x14ac:dyDescent="0.45">
      <c r="A1048" s="67">
        <v>2</v>
      </c>
      <c r="B1048" s="186" t="s">
        <v>101</v>
      </c>
      <c r="C1048" s="28" t="s">
        <v>142</v>
      </c>
      <c r="D1048" s="28" t="str">
        <f t="shared" ref="D1048:D1058" si="657">IF(G1048&lt;&gt;"rumus","Semester","")</f>
        <v/>
      </c>
      <c r="E1048" s="256" t="str">
        <f t="shared" ref="E1048:E1058" si="658">IF(I1048&lt;&gt;"",1,"")</f>
        <v/>
      </c>
      <c r="F1048" s="256" t="str">
        <f t="shared" ref="F1048:F1058" si="659">IF(I1048&lt;&gt;"",J1048,"")</f>
        <v/>
      </c>
      <c r="G1048" s="159" t="str">
        <f t="shared" si="656"/>
        <v>rumus</v>
      </c>
      <c r="H1048" s="39" t="s">
        <v>66</v>
      </c>
      <c r="I1048" s="95"/>
      <c r="J1048" s="37" t="str">
        <f t="shared" ref="J1048:J1058" si="660">IF(I1048&lt;&gt;"",IF(I1048="a.Rektor",6,IF(I1048="b.Pembantu rektor/dekan/direktur program pasca sarjana",5,IF(I1048="c.Ketua sekolah tinggi/pembantu dekan/asisten direktur program pasca sarjana/direktur politeknik",4,IF(I1048="d.Pembantu ketua sekolah tinggi/pembantu direktur politeknik",4,IF(I1048="e.Direktur akademi",4,IF(I1048="f.Pembantu direktur akademi/ketua jurusan/bagian pada universitas/institut/sekolah tinggi",3,IF(I1048="g.Ketua jurusan pada politeknik/akademi/sekretaris jurusan/bagian pada universitas/institu/sekolah tinggi",3,IF(I1048="h.Sekretaris jurusan pada politeknik/akademi dan kepala laboratorium universitas/institut/sekolah tinggi/politeknik/akademi",3,"")))))))),"rumus")</f>
        <v>rumus</v>
      </c>
      <c r="K1048" s="89"/>
      <c r="L1048" s="89"/>
      <c r="M1048" s="89"/>
    </row>
    <row r="1049" spans="1:13" s="41" customFormat="1" ht="15" hidden="1" customHeight="1" x14ac:dyDescent="0.45">
      <c r="A1049" s="67">
        <v>3</v>
      </c>
      <c r="B1049" s="186" t="s">
        <v>101</v>
      </c>
      <c r="C1049" s="172" t="s">
        <v>143</v>
      </c>
      <c r="D1049" s="28" t="str">
        <f t="shared" si="657"/>
        <v/>
      </c>
      <c r="E1049" s="256" t="str">
        <f t="shared" si="658"/>
        <v/>
      </c>
      <c r="F1049" s="256" t="str">
        <f t="shared" si="659"/>
        <v/>
      </c>
      <c r="G1049" s="159" t="str">
        <f t="shared" si="656"/>
        <v>rumus</v>
      </c>
      <c r="H1049" s="39" t="s">
        <v>66</v>
      </c>
      <c r="I1049" s="95"/>
      <c r="J1049" s="37" t="str">
        <f t="shared" si="660"/>
        <v>rumus</v>
      </c>
      <c r="K1049" s="89"/>
      <c r="L1049" s="89"/>
      <c r="M1049" s="89"/>
    </row>
    <row r="1050" spans="1:13" s="41" customFormat="1" ht="15" hidden="1" customHeight="1" x14ac:dyDescent="0.45">
      <c r="A1050" s="67">
        <v>4</v>
      </c>
      <c r="B1050" s="186" t="s">
        <v>101</v>
      </c>
      <c r="C1050" s="28" t="s">
        <v>144</v>
      </c>
      <c r="D1050" s="28" t="str">
        <f t="shared" si="657"/>
        <v/>
      </c>
      <c r="E1050" s="256" t="str">
        <f t="shared" si="658"/>
        <v/>
      </c>
      <c r="F1050" s="256" t="str">
        <f t="shared" si="659"/>
        <v/>
      </c>
      <c r="G1050" s="159" t="str">
        <f t="shared" si="656"/>
        <v>rumus</v>
      </c>
      <c r="H1050" s="39" t="s">
        <v>66</v>
      </c>
      <c r="I1050" s="95"/>
      <c r="J1050" s="37" t="str">
        <f t="shared" si="660"/>
        <v>rumus</v>
      </c>
      <c r="K1050" s="89"/>
      <c r="L1050" s="89"/>
      <c r="M1050" s="89"/>
    </row>
    <row r="1051" spans="1:13" s="41" customFormat="1" ht="15" hidden="1" customHeight="1" x14ac:dyDescent="0.45">
      <c r="A1051" s="67">
        <v>5</v>
      </c>
      <c r="B1051" s="186" t="s">
        <v>101</v>
      </c>
      <c r="C1051" s="172" t="s">
        <v>145</v>
      </c>
      <c r="D1051" s="28" t="str">
        <f t="shared" si="657"/>
        <v/>
      </c>
      <c r="E1051" s="256" t="str">
        <f t="shared" si="658"/>
        <v/>
      </c>
      <c r="F1051" s="256" t="str">
        <f t="shared" si="659"/>
        <v/>
      </c>
      <c r="G1051" s="159" t="str">
        <f t="shared" si="656"/>
        <v>rumus</v>
      </c>
      <c r="H1051" s="39" t="s">
        <v>66</v>
      </c>
      <c r="I1051" s="95"/>
      <c r="J1051" s="37" t="str">
        <f t="shared" si="660"/>
        <v>rumus</v>
      </c>
      <c r="K1051" s="89"/>
      <c r="L1051" s="89"/>
      <c r="M1051" s="89"/>
    </row>
    <row r="1052" spans="1:13" s="41" customFormat="1" ht="15" hidden="1" customHeight="1" x14ac:dyDescent="0.45">
      <c r="A1052" s="67">
        <v>6</v>
      </c>
      <c r="B1052" s="186" t="s">
        <v>101</v>
      </c>
      <c r="C1052" s="172" t="s">
        <v>146</v>
      </c>
      <c r="D1052" s="28" t="str">
        <f t="shared" si="657"/>
        <v/>
      </c>
      <c r="E1052" s="256" t="str">
        <f t="shared" si="658"/>
        <v/>
      </c>
      <c r="F1052" s="256" t="str">
        <f t="shared" si="659"/>
        <v/>
      </c>
      <c r="G1052" s="159" t="str">
        <f t="shared" si="656"/>
        <v>rumus</v>
      </c>
      <c r="H1052" s="39" t="s">
        <v>66</v>
      </c>
      <c r="I1052" s="95"/>
      <c r="J1052" s="37" t="str">
        <f t="shared" si="660"/>
        <v>rumus</v>
      </c>
      <c r="K1052" s="89"/>
      <c r="L1052" s="89"/>
      <c r="M1052" s="89"/>
    </row>
    <row r="1053" spans="1:13" s="41" customFormat="1" ht="15" hidden="1" customHeight="1" x14ac:dyDescent="0.45">
      <c r="A1053" s="67">
        <v>7</v>
      </c>
      <c r="B1053" s="186" t="s">
        <v>101</v>
      </c>
      <c r="C1053" s="28" t="s">
        <v>108</v>
      </c>
      <c r="D1053" s="28" t="str">
        <f t="shared" si="657"/>
        <v/>
      </c>
      <c r="E1053" s="256" t="str">
        <f t="shared" si="658"/>
        <v/>
      </c>
      <c r="F1053" s="256" t="str">
        <f t="shared" si="659"/>
        <v/>
      </c>
      <c r="G1053" s="159" t="str">
        <f t="shared" si="656"/>
        <v>rumus</v>
      </c>
      <c r="H1053" s="39" t="s">
        <v>66</v>
      </c>
      <c r="I1053" s="95"/>
      <c r="J1053" s="37" t="str">
        <f t="shared" si="660"/>
        <v>rumus</v>
      </c>
      <c r="K1053" s="89"/>
      <c r="L1053" s="89"/>
      <c r="M1053" s="89"/>
    </row>
    <row r="1054" spans="1:13" s="41" customFormat="1" ht="15" hidden="1" customHeight="1" x14ac:dyDescent="0.45">
      <c r="A1054" s="67">
        <v>8</v>
      </c>
      <c r="B1054" s="186" t="s">
        <v>101</v>
      </c>
      <c r="C1054" s="28" t="s">
        <v>112</v>
      </c>
      <c r="D1054" s="28" t="str">
        <f t="shared" si="657"/>
        <v/>
      </c>
      <c r="E1054" s="256" t="str">
        <f t="shared" si="658"/>
        <v/>
      </c>
      <c r="F1054" s="256" t="str">
        <f t="shared" si="659"/>
        <v/>
      </c>
      <c r="G1054" s="159" t="str">
        <f t="shared" si="656"/>
        <v>rumus</v>
      </c>
      <c r="H1054" s="39" t="s">
        <v>66</v>
      </c>
      <c r="I1054" s="95"/>
      <c r="J1054" s="37" t="str">
        <f t="shared" si="660"/>
        <v>rumus</v>
      </c>
      <c r="K1054" s="89"/>
      <c r="L1054" s="89"/>
      <c r="M1054" s="89"/>
    </row>
    <row r="1055" spans="1:13" s="41" customFormat="1" ht="15" hidden="1" customHeight="1" x14ac:dyDescent="0.45">
      <c r="A1055" s="67">
        <v>9</v>
      </c>
      <c r="B1055" s="186" t="s">
        <v>101</v>
      </c>
      <c r="C1055" s="28" t="s">
        <v>113</v>
      </c>
      <c r="D1055" s="28" t="str">
        <f t="shared" si="657"/>
        <v/>
      </c>
      <c r="E1055" s="256" t="str">
        <f t="shared" si="658"/>
        <v/>
      </c>
      <c r="F1055" s="256" t="str">
        <f t="shared" si="659"/>
        <v/>
      </c>
      <c r="G1055" s="159" t="str">
        <f t="shared" si="656"/>
        <v>rumus</v>
      </c>
      <c r="H1055" s="39" t="s">
        <v>66</v>
      </c>
      <c r="I1055" s="95"/>
      <c r="J1055" s="37" t="str">
        <f t="shared" si="660"/>
        <v>rumus</v>
      </c>
      <c r="K1055" s="89"/>
      <c r="L1055" s="89"/>
      <c r="M1055" s="89"/>
    </row>
    <row r="1056" spans="1:13" s="41" customFormat="1" ht="15" hidden="1" customHeight="1" x14ac:dyDescent="0.45">
      <c r="A1056" s="67">
        <v>10</v>
      </c>
      <c r="B1056" s="186" t="s">
        <v>101</v>
      </c>
      <c r="C1056" s="28" t="s">
        <v>114</v>
      </c>
      <c r="D1056" s="28" t="str">
        <f t="shared" si="657"/>
        <v/>
      </c>
      <c r="E1056" s="256" t="str">
        <f t="shared" si="658"/>
        <v/>
      </c>
      <c r="F1056" s="256" t="str">
        <f t="shared" si="659"/>
        <v/>
      </c>
      <c r="G1056" s="159" t="str">
        <f t="shared" si="656"/>
        <v>rumus</v>
      </c>
      <c r="H1056" s="39" t="s">
        <v>66</v>
      </c>
      <c r="I1056" s="95"/>
      <c r="J1056" s="37" t="str">
        <f t="shared" si="660"/>
        <v>rumus</v>
      </c>
      <c r="K1056" s="89"/>
      <c r="L1056" s="89"/>
      <c r="M1056" s="89"/>
    </row>
    <row r="1057" spans="1:13" s="41" customFormat="1" ht="15" hidden="1" customHeight="1" x14ac:dyDescent="0.45">
      <c r="A1057" s="67">
        <v>11</v>
      </c>
      <c r="B1057" s="186" t="s">
        <v>101</v>
      </c>
      <c r="C1057" s="28" t="s">
        <v>251</v>
      </c>
      <c r="D1057" s="28" t="str">
        <f t="shared" si="657"/>
        <v/>
      </c>
      <c r="E1057" s="256" t="str">
        <f t="shared" si="658"/>
        <v/>
      </c>
      <c r="F1057" s="256" t="str">
        <f t="shared" si="659"/>
        <v/>
      </c>
      <c r="G1057" s="159" t="str">
        <f t="shared" si="656"/>
        <v>rumus</v>
      </c>
      <c r="H1057" s="39" t="s">
        <v>66</v>
      </c>
      <c r="I1057" s="95"/>
      <c r="J1057" s="37" t="str">
        <f t="shared" si="660"/>
        <v>rumus</v>
      </c>
      <c r="K1057" s="89"/>
      <c r="L1057" s="89"/>
      <c r="M1057" s="89"/>
    </row>
    <row r="1058" spans="1:13" s="41" customFormat="1" ht="15" hidden="1" customHeight="1" x14ac:dyDescent="0.45">
      <c r="A1058" s="67">
        <v>12</v>
      </c>
      <c r="B1058" s="186" t="s">
        <v>101</v>
      </c>
      <c r="C1058" s="28" t="s">
        <v>252</v>
      </c>
      <c r="D1058" s="28" t="str">
        <f t="shared" si="657"/>
        <v/>
      </c>
      <c r="E1058" s="256" t="str">
        <f t="shared" si="658"/>
        <v/>
      </c>
      <c r="F1058" s="256" t="str">
        <f t="shared" si="659"/>
        <v/>
      </c>
      <c r="G1058" s="159" t="str">
        <f t="shared" si="656"/>
        <v>rumus</v>
      </c>
      <c r="H1058" s="39" t="s">
        <v>66</v>
      </c>
      <c r="I1058" s="95"/>
      <c r="J1058" s="37" t="str">
        <f t="shared" si="660"/>
        <v>rumus</v>
      </c>
      <c r="K1058" s="89"/>
      <c r="L1058" s="89"/>
      <c r="M1058" s="89"/>
    </row>
    <row r="1059" spans="1:13" s="41" customFormat="1" ht="15" hidden="1" customHeight="1" x14ac:dyDescent="0.45">
      <c r="A1059" s="67"/>
      <c r="B1059" s="264" t="s">
        <v>111</v>
      </c>
      <c r="C1059" s="116"/>
      <c r="D1059" s="116"/>
      <c r="E1059" s="116"/>
      <c r="F1059" s="116"/>
      <c r="G1059" s="57"/>
      <c r="H1059" s="58"/>
      <c r="I1059" s="89"/>
      <c r="K1059" s="89">
        <f>SUM(J1047:J1058)</f>
        <v>0</v>
      </c>
      <c r="L1059" s="89"/>
      <c r="M1059" s="89"/>
    </row>
    <row r="1060" spans="1:13" s="41" customFormat="1" ht="15" hidden="1" customHeight="1" x14ac:dyDescent="0.45">
      <c r="A1060" s="67">
        <v>1</v>
      </c>
      <c r="B1060" s="163" t="s">
        <v>101</v>
      </c>
      <c r="C1060" s="28" t="s">
        <v>141</v>
      </c>
      <c r="D1060" s="28" t="str">
        <f>IF(G1060&lt;&gt;"rumus","Semester","")</f>
        <v/>
      </c>
      <c r="E1060" s="256" t="str">
        <f t="shared" ref="E1060:E1071" si="661">IF(I1060&lt;&gt;"",1,"")</f>
        <v/>
      </c>
      <c r="F1060" s="256" t="str">
        <f t="shared" ref="F1060:F1071" si="662">IF(I1060&lt;&gt;"",J1060,"")</f>
        <v/>
      </c>
      <c r="G1060" s="159" t="str">
        <f t="shared" ref="G1060:G1071" si="663">IF(J1060&lt;&gt;"rumus","1 x "&amp;J1060&amp;" = "&amp;J1060,"rumus")</f>
        <v>rumus</v>
      </c>
      <c r="H1060" s="28" t="s">
        <v>109</v>
      </c>
      <c r="I1060" s="95"/>
      <c r="J1060" s="37" t="str">
        <f>IF(I1060&lt;&gt;"",IF(I1060="a.Rektor",6,IF(I1060="b.Pembantu rektor/dekan/direktur program pasca sarjana",5,IF(I1060="c.Ketua sekolah tinggi/pembantu dekan/asisten direktur program pasca sarjana/direktur politeknik",4,IF(I1060="d.Pembantu ketua sekolah tinggi/pembantu direktur politeknik",4,IF(I1060="e.Direktur akademi",4,IF(I1060="f.Pembantu direktur akademi/ketua jurusan/bagian pada universitas/institut/sekolah tinggi",3,IF(I1060="g.Ketua jurusan pada politeknik/akademi/sekretaris jurusan/bagian pada universitas/institu/sekolah tinggi",3,IF(I1060="h.Sekretaris jurusan pada politeknik/akademi dan kepala laboratorium universitas/institut/sekolah tinggi/politeknik/akademi",3,"")))))))),"rumus")</f>
        <v>rumus</v>
      </c>
      <c r="K1060" s="89"/>
      <c r="L1060" s="89"/>
      <c r="M1060" s="89"/>
    </row>
    <row r="1061" spans="1:13" s="41" customFormat="1" ht="15" hidden="1" customHeight="1" x14ac:dyDescent="0.45">
      <c r="A1061" s="67">
        <v>2</v>
      </c>
      <c r="B1061" s="186" t="s">
        <v>101</v>
      </c>
      <c r="C1061" s="28" t="s">
        <v>142</v>
      </c>
      <c r="D1061" s="28" t="str">
        <f t="shared" ref="D1061:D1071" si="664">IF(G1061&lt;&gt;"rumus","Semester","")</f>
        <v/>
      </c>
      <c r="E1061" s="256" t="str">
        <f t="shared" si="661"/>
        <v/>
      </c>
      <c r="F1061" s="256" t="str">
        <f t="shared" si="662"/>
        <v/>
      </c>
      <c r="G1061" s="159" t="str">
        <f t="shared" si="663"/>
        <v>rumus</v>
      </c>
      <c r="H1061" s="39" t="s">
        <v>66</v>
      </c>
      <c r="I1061" s="95"/>
      <c r="J1061" s="37" t="str">
        <f t="shared" ref="J1061:J1071" si="665">IF(I1061&lt;&gt;"",IF(I1061="a.Rektor",6,IF(I1061="b.Pembantu rektor/dekan/direktur program pasca sarjana",5,IF(I1061="c.Ketua sekolah tinggi/pembantu dekan/asisten direktur program pasca sarjana/direktur politeknik",4,IF(I1061="d.Pembantu ketua sekolah tinggi/pembantu direktur politeknik",4,IF(I1061="e.Direktur akademi",4,IF(I1061="f.Pembantu direktur akademi/ketua jurusan/bagian pada universitas/institut/sekolah tinggi",3,IF(I1061="g.Ketua jurusan pada politeknik/akademi/sekretaris jurusan/bagian pada universitas/institu/sekolah tinggi",3,IF(I1061="h.Sekretaris jurusan pada politeknik/akademi dan kepala laboratorium universitas/institut/sekolah tinggi/politeknik/akademi",3,"")))))))),"rumus")</f>
        <v>rumus</v>
      </c>
      <c r="K1061" s="89"/>
      <c r="L1061" s="89"/>
      <c r="M1061" s="89"/>
    </row>
    <row r="1062" spans="1:13" s="41" customFormat="1" ht="15" hidden="1" customHeight="1" x14ac:dyDescent="0.45">
      <c r="A1062" s="67">
        <v>3</v>
      </c>
      <c r="B1062" s="186" t="s">
        <v>101</v>
      </c>
      <c r="C1062" s="172" t="s">
        <v>143</v>
      </c>
      <c r="D1062" s="28" t="str">
        <f t="shared" si="664"/>
        <v/>
      </c>
      <c r="E1062" s="256" t="str">
        <f t="shared" si="661"/>
        <v/>
      </c>
      <c r="F1062" s="256" t="str">
        <f t="shared" si="662"/>
        <v/>
      </c>
      <c r="G1062" s="159" t="str">
        <f t="shared" si="663"/>
        <v>rumus</v>
      </c>
      <c r="H1062" s="39" t="s">
        <v>66</v>
      </c>
      <c r="I1062" s="95"/>
      <c r="J1062" s="37" t="str">
        <f t="shared" si="665"/>
        <v>rumus</v>
      </c>
      <c r="K1062" s="89"/>
      <c r="L1062" s="89"/>
      <c r="M1062" s="89"/>
    </row>
    <row r="1063" spans="1:13" s="41" customFormat="1" ht="15" hidden="1" customHeight="1" x14ac:dyDescent="0.45">
      <c r="A1063" s="67">
        <v>4</v>
      </c>
      <c r="B1063" s="186" t="s">
        <v>101</v>
      </c>
      <c r="C1063" s="28" t="s">
        <v>144</v>
      </c>
      <c r="D1063" s="28" t="str">
        <f t="shared" si="664"/>
        <v/>
      </c>
      <c r="E1063" s="256" t="str">
        <f t="shared" si="661"/>
        <v/>
      </c>
      <c r="F1063" s="256" t="str">
        <f t="shared" si="662"/>
        <v/>
      </c>
      <c r="G1063" s="159" t="str">
        <f t="shared" si="663"/>
        <v>rumus</v>
      </c>
      <c r="H1063" s="39" t="s">
        <v>66</v>
      </c>
      <c r="I1063" s="95"/>
      <c r="J1063" s="37" t="str">
        <f t="shared" si="665"/>
        <v>rumus</v>
      </c>
      <c r="K1063" s="89"/>
      <c r="L1063" s="89"/>
      <c r="M1063" s="89"/>
    </row>
    <row r="1064" spans="1:13" s="41" customFormat="1" ht="15" hidden="1" customHeight="1" x14ac:dyDescent="0.45">
      <c r="A1064" s="67">
        <v>5</v>
      </c>
      <c r="B1064" s="186" t="s">
        <v>101</v>
      </c>
      <c r="C1064" s="172" t="s">
        <v>145</v>
      </c>
      <c r="D1064" s="28" t="str">
        <f t="shared" si="664"/>
        <v/>
      </c>
      <c r="E1064" s="256" t="str">
        <f t="shared" si="661"/>
        <v/>
      </c>
      <c r="F1064" s="256" t="str">
        <f t="shared" si="662"/>
        <v/>
      </c>
      <c r="G1064" s="159" t="str">
        <f t="shared" si="663"/>
        <v>rumus</v>
      </c>
      <c r="H1064" s="39" t="s">
        <v>66</v>
      </c>
      <c r="I1064" s="95"/>
      <c r="J1064" s="37" t="str">
        <f t="shared" si="665"/>
        <v>rumus</v>
      </c>
      <c r="K1064" s="89"/>
      <c r="L1064" s="89"/>
      <c r="M1064" s="89"/>
    </row>
    <row r="1065" spans="1:13" s="41" customFormat="1" ht="15" hidden="1" customHeight="1" x14ac:dyDescent="0.45">
      <c r="A1065" s="67">
        <v>6</v>
      </c>
      <c r="B1065" s="186" t="s">
        <v>101</v>
      </c>
      <c r="C1065" s="172" t="s">
        <v>146</v>
      </c>
      <c r="D1065" s="28" t="str">
        <f t="shared" si="664"/>
        <v/>
      </c>
      <c r="E1065" s="256" t="str">
        <f t="shared" si="661"/>
        <v/>
      </c>
      <c r="F1065" s="256" t="str">
        <f t="shared" si="662"/>
        <v/>
      </c>
      <c r="G1065" s="159" t="str">
        <f t="shared" si="663"/>
        <v>rumus</v>
      </c>
      <c r="H1065" s="39" t="s">
        <v>66</v>
      </c>
      <c r="I1065" s="95"/>
      <c r="J1065" s="37" t="str">
        <f t="shared" si="665"/>
        <v>rumus</v>
      </c>
      <c r="K1065" s="89"/>
      <c r="L1065" s="89"/>
      <c r="M1065" s="89"/>
    </row>
    <row r="1066" spans="1:13" s="41" customFormat="1" ht="15" hidden="1" customHeight="1" x14ac:dyDescent="0.45">
      <c r="A1066" s="67">
        <v>7</v>
      </c>
      <c r="B1066" s="186" t="s">
        <v>101</v>
      </c>
      <c r="C1066" s="28" t="s">
        <v>108</v>
      </c>
      <c r="D1066" s="28" t="str">
        <f t="shared" si="664"/>
        <v/>
      </c>
      <c r="E1066" s="256" t="str">
        <f t="shared" si="661"/>
        <v/>
      </c>
      <c r="F1066" s="256" t="str">
        <f t="shared" si="662"/>
        <v/>
      </c>
      <c r="G1066" s="159" t="str">
        <f t="shared" si="663"/>
        <v>rumus</v>
      </c>
      <c r="H1066" s="39" t="s">
        <v>66</v>
      </c>
      <c r="I1066" s="95"/>
      <c r="J1066" s="37" t="str">
        <f t="shared" si="665"/>
        <v>rumus</v>
      </c>
      <c r="K1066" s="89"/>
      <c r="L1066" s="89"/>
      <c r="M1066" s="89"/>
    </row>
    <row r="1067" spans="1:13" s="41" customFormat="1" ht="15" hidden="1" customHeight="1" x14ac:dyDescent="0.45">
      <c r="A1067" s="67">
        <v>8</v>
      </c>
      <c r="B1067" s="186" t="s">
        <v>101</v>
      </c>
      <c r="C1067" s="28" t="s">
        <v>112</v>
      </c>
      <c r="D1067" s="28" t="str">
        <f t="shared" si="664"/>
        <v/>
      </c>
      <c r="E1067" s="256" t="str">
        <f t="shared" si="661"/>
        <v/>
      </c>
      <c r="F1067" s="256" t="str">
        <f t="shared" si="662"/>
        <v/>
      </c>
      <c r="G1067" s="159" t="str">
        <f t="shared" si="663"/>
        <v>rumus</v>
      </c>
      <c r="H1067" s="39" t="s">
        <v>66</v>
      </c>
      <c r="I1067" s="95"/>
      <c r="J1067" s="37" t="str">
        <f t="shared" si="665"/>
        <v>rumus</v>
      </c>
      <c r="K1067" s="89"/>
      <c r="L1067" s="89"/>
      <c r="M1067" s="89"/>
    </row>
    <row r="1068" spans="1:13" s="41" customFormat="1" ht="15" hidden="1" customHeight="1" x14ac:dyDescent="0.45">
      <c r="A1068" s="67">
        <v>9</v>
      </c>
      <c r="B1068" s="186" t="s">
        <v>101</v>
      </c>
      <c r="C1068" s="28" t="s">
        <v>113</v>
      </c>
      <c r="D1068" s="28" t="str">
        <f t="shared" si="664"/>
        <v/>
      </c>
      <c r="E1068" s="256" t="str">
        <f t="shared" si="661"/>
        <v/>
      </c>
      <c r="F1068" s="256" t="str">
        <f t="shared" si="662"/>
        <v/>
      </c>
      <c r="G1068" s="159" t="str">
        <f t="shared" si="663"/>
        <v>rumus</v>
      </c>
      <c r="H1068" s="39" t="s">
        <v>66</v>
      </c>
      <c r="I1068" s="95"/>
      <c r="J1068" s="37" t="str">
        <f t="shared" si="665"/>
        <v>rumus</v>
      </c>
      <c r="K1068" s="89"/>
      <c r="L1068" s="89"/>
      <c r="M1068" s="89"/>
    </row>
    <row r="1069" spans="1:13" s="41" customFormat="1" ht="15" hidden="1" customHeight="1" x14ac:dyDescent="0.45">
      <c r="A1069" s="67">
        <v>10</v>
      </c>
      <c r="B1069" s="186" t="s">
        <v>101</v>
      </c>
      <c r="C1069" s="28" t="s">
        <v>114</v>
      </c>
      <c r="D1069" s="28" t="str">
        <f t="shared" si="664"/>
        <v/>
      </c>
      <c r="E1069" s="256" t="str">
        <f t="shared" si="661"/>
        <v/>
      </c>
      <c r="F1069" s="256" t="str">
        <f t="shared" si="662"/>
        <v/>
      </c>
      <c r="G1069" s="159" t="str">
        <f t="shared" si="663"/>
        <v>rumus</v>
      </c>
      <c r="H1069" s="39" t="s">
        <v>66</v>
      </c>
      <c r="I1069" s="95"/>
      <c r="J1069" s="37" t="str">
        <f t="shared" si="665"/>
        <v>rumus</v>
      </c>
      <c r="K1069" s="89"/>
      <c r="L1069" s="89"/>
      <c r="M1069" s="89"/>
    </row>
    <row r="1070" spans="1:13" s="41" customFormat="1" ht="15" hidden="1" customHeight="1" x14ac:dyDescent="0.45">
      <c r="A1070" s="67">
        <v>11</v>
      </c>
      <c r="B1070" s="186" t="s">
        <v>101</v>
      </c>
      <c r="C1070" s="28" t="s">
        <v>251</v>
      </c>
      <c r="D1070" s="28" t="str">
        <f t="shared" si="664"/>
        <v/>
      </c>
      <c r="E1070" s="256" t="str">
        <f t="shared" si="661"/>
        <v/>
      </c>
      <c r="F1070" s="256" t="str">
        <f t="shared" si="662"/>
        <v/>
      </c>
      <c r="G1070" s="159" t="str">
        <f t="shared" si="663"/>
        <v>rumus</v>
      </c>
      <c r="H1070" s="39" t="s">
        <v>66</v>
      </c>
      <c r="I1070" s="95"/>
      <c r="J1070" s="37" t="str">
        <f t="shared" si="665"/>
        <v>rumus</v>
      </c>
      <c r="K1070" s="89"/>
      <c r="L1070" s="89"/>
      <c r="M1070" s="89"/>
    </row>
    <row r="1071" spans="1:13" s="41" customFormat="1" ht="15" hidden="1" customHeight="1" x14ac:dyDescent="0.45">
      <c r="A1071" s="67">
        <v>12</v>
      </c>
      <c r="B1071" s="186" t="s">
        <v>101</v>
      </c>
      <c r="C1071" s="28" t="s">
        <v>252</v>
      </c>
      <c r="D1071" s="28" t="str">
        <f t="shared" si="664"/>
        <v/>
      </c>
      <c r="E1071" s="256" t="str">
        <f t="shared" si="661"/>
        <v/>
      </c>
      <c r="F1071" s="256" t="str">
        <f t="shared" si="662"/>
        <v/>
      </c>
      <c r="G1071" s="159" t="str">
        <f t="shared" si="663"/>
        <v>rumus</v>
      </c>
      <c r="H1071" s="39" t="s">
        <v>66</v>
      </c>
      <c r="I1071" s="95"/>
      <c r="J1071" s="37" t="str">
        <f t="shared" si="665"/>
        <v>rumus</v>
      </c>
      <c r="K1071" s="89"/>
      <c r="L1071" s="89"/>
      <c r="M1071" s="89"/>
    </row>
    <row r="1072" spans="1:13" s="41" customFormat="1" ht="15" customHeight="1" x14ac:dyDescent="0.45">
      <c r="A1072" s="70"/>
      <c r="B1072" s="968" t="s">
        <v>67</v>
      </c>
      <c r="C1072" s="969"/>
      <c r="D1072" s="970"/>
      <c r="E1072" s="248"/>
      <c r="F1072" s="252"/>
      <c r="G1072" s="61">
        <f>SUM(K1048:K1072)</f>
        <v>0</v>
      </c>
      <c r="H1072" s="39"/>
      <c r="I1072" s="89"/>
      <c r="J1072" s="89"/>
      <c r="K1072" s="89">
        <f>SUM(J1060:J1071)</f>
        <v>0</v>
      </c>
      <c r="L1072" s="89"/>
      <c r="M1072" s="89"/>
    </row>
    <row r="1073" spans="1:13" s="41" customFormat="1" ht="15" customHeight="1" x14ac:dyDescent="0.45">
      <c r="A1073" s="85" t="s">
        <v>124</v>
      </c>
      <c r="B1073" s="71" t="s">
        <v>285</v>
      </c>
      <c r="C1073" s="65"/>
      <c r="D1073" s="65"/>
      <c r="E1073" s="65"/>
      <c r="F1073" s="65"/>
      <c r="G1073" s="65"/>
      <c r="H1073" s="66"/>
      <c r="I1073" s="89"/>
      <c r="J1073" s="89"/>
      <c r="K1073" s="89"/>
      <c r="L1073" s="89"/>
      <c r="M1073" s="89"/>
    </row>
    <row r="1074" spans="1:13" s="41" customFormat="1" ht="15" hidden="1" customHeight="1" x14ac:dyDescent="0.45">
      <c r="A1074" s="67"/>
      <c r="B1074" s="262" t="s">
        <v>110</v>
      </c>
      <c r="C1074" s="57"/>
      <c r="D1074" s="57"/>
      <c r="E1074" s="57"/>
      <c r="F1074" s="57"/>
      <c r="G1074" s="57"/>
      <c r="H1074" s="58"/>
      <c r="I1074" s="89"/>
      <c r="J1074" s="89"/>
      <c r="K1074" s="89"/>
      <c r="L1074" s="89"/>
      <c r="M1074" s="89"/>
    </row>
    <row r="1075" spans="1:13" s="41" customFormat="1" ht="15" hidden="1" customHeight="1" x14ac:dyDescent="0.45">
      <c r="A1075" s="67">
        <v>1</v>
      </c>
      <c r="B1075" s="199" t="s">
        <v>98</v>
      </c>
      <c r="C1075" s="28" t="s">
        <v>141</v>
      </c>
      <c r="D1075" s="28" t="str">
        <f>IF(G1075&lt;&gt;"rumus","Kegiatan","")</f>
        <v/>
      </c>
      <c r="E1075" s="256" t="str">
        <f t="shared" ref="E1075" si="666">IF(I1075&lt;&gt;"",1,"")</f>
        <v/>
      </c>
      <c r="F1075" s="256" t="str">
        <f t="shared" ref="F1075" si="667">IF(I1075&lt;&gt;"",J1075,"")</f>
        <v/>
      </c>
      <c r="G1075" s="159" t="str">
        <f t="shared" ref="G1075" si="668">IF(J1075&lt;&gt;"rumus","1 x "&amp;J1075&amp;" = "&amp;J1075,"rumus")</f>
        <v>rumus</v>
      </c>
      <c r="H1075" s="28" t="s">
        <v>109</v>
      </c>
      <c r="I1075" s="95"/>
      <c r="J1075" s="37" t="str">
        <f>IF(I1075&lt;&gt;"",IF(I1075="a.Pembimbing pencangkokan persemester",2,IF(I1075="b.Reguler persemester",1,"")),"rumus")</f>
        <v>rumus</v>
      </c>
      <c r="K1075" s="89"/>
      <c r="L1075" s="89"/>
    </row>
    <row r="1076" spans="1:13" s="41" customFormat="1" ht="15" hidden="1" customHeight="1" x14ac:dyDescent="0.45">
      <c r="A1076" s="67">
        <v>2</v>
      </c>
      <c r="B1076" s="199" t="s">
        <v>98</v>
      </c>
      <c r="C1076" s="28" t="s">
        <v>142</v>
      </c>
      <c r="D1076" s="28" t="str">
        <f t="shared" ref="D1076:D1086" si="669">IF(G1076&lt;&gt;"rumus","Kegiatan","")</f>
        <v/>
      </c>
      <c r="E1076" s="256" t="str">
        <f t="shared" ref="E1076:E1086" si="670">IF(I1076&lt;&gt;"",1,"")</f>
        <v/>
      </c>
      <c r="F1076" s="256" t="str">
        <f t="shared" ref="F1076:F1086" si="671">IF(I1076&lt;&gt;"",J1076,"")</f>
        <v/>
      </c>
      <c r="G1076" s="159" t="str">
        <f t="shared" ref="G1076:G1086" si="672">IF(J1076&lt;&gt;"rumus","1 x "&amp;J1076&amp;" = "&amp;J1076,"rumus")</f>
        <v>rumus</v>
      </c>
      <c r="H1076" s="39" t="s">
        <v>66</v>
      </c>
      <c r="I1076" s="95"/>
      <c r="J1076" s="37" t="str">
        <f t="shared" ref="J1076:J1086" si="673">IF(I1076&lt;&gt;"",IF(I1076="a.Pembimbing pencangkokan persemester",2,IF(I1076="b.Reguler persemester",1,"")),"rumus")</f>
        <v>rumus</v>
      </c>
      <c r="K1076" s="89"/>
      <c r="L1076" s="89"/>
    </row>
    <row r="1077" spans="1:13" s="41" customFormat="1" ht="15" hidden="1" customHeight="1" x14ac:dyDescent="0.45">
      <c r="A1077" s="67">
        <v>3</v>
      </c>
      <c r="B1077" s="199" t="s">
        <v>98</v>
      </c>
      <c r="C1077" s="172" t="s">
        <v>143</v>
      </c>
      <c r="D1077" s="28" t="str">
        <f t="shared" si="669"/>
        <v/>
      </c>
      <c r="E1077" s="256" t="str">
        <f t="shared" si="670"/>
        <v/>
      </c>
      <c r="F1077" s="256" t="str">
        <f t="shared" si="671"/>
        <v/>
      </c>
      <c r="G1077" s="159" t="str">
        <f t="shared" si="672"/>
        <v>rumus</v>
      </c>
      <c r="H1077" s="39" t="s">
        <v>66</v>
      </c>
      <c r="I1077" s="95"/>
      <c r="J1077" s="37" t="str">
        <f t="shared" si="673"/>
        <v>rumus</v>
      </c>
      <c r="K1077" s="89"/>
      <c r="L1077" s="89"/>
    </row>
    <row r="1078" spans="1:13" s="41" customFormat="1" ht="15" hidden="1" customHeight="1" x14ac:dyDescent="0.45">
      <c r="A1078" s="67">
        <v>4</v>
      </c>
      <c r="B1078" s="199" t="s">
        <v>98</v>
      </c>
      <c r="C1078" s="28" t="s">
        <v>144</v>
      </c>
      <c r="D1078" s="28" t="str">
        <f t="shared" si="669"/>
        <v/>
      </c>
      <c r="E1078" s="256" t="str">
        <f t="shared" si="670"/>
        <v/>
      </c>
      <c r="F1078" s="256" t="str">
        <f t="shared" si="671"/>
        <v/>
      </c>
      <c r="G1078" s="159" t="str">
        <f t="shared" si="672"/>
        <v>rumus</v>
      </c>
      <c r="H1078" s="39" t="s">
        <v>66</v>
      </c>
      <c r="I1078" s="95"/>
      <c r="J1078" s="37" t="str">
        <f t="shared" si="673"/>
        <v>rumus</v>
      </c>
      <c r="K1078" s="89"/>
      <c r="L1078" s="89"/>
    </row>
    <row r="1079" spans="1:13" s="41" customFormat="1" ht="15" hidden="1" customHeight="1" x14ac:dyDescent="0.45">
      <c r="A1079" s="67">
        <v>5</v>
      </c>
      <c r="B1079" s="199" t="s">
        <v>98</v>
      </c>
      <c r="C1079" s="172" t="s">
        <v>145</v>
      </c>
      <c r="D1079" s="28" t="str">
        <f t="shared" si="669"/>
        <v/>
      </c>
      <c r="E1079" s="256" t="str">
        <f t="shared" si="670"/>
        <v/>
      </c>
      <c r="F1079" s="256" t="str">
        <f t="shared" si="671"/>
        <v/>
      </c>
      <c r="G1079" s="159" t="str">
        <f t="shared" si="672"/>
        <v>rumus</v>
      </c>
      <c r="H1079" s="39" t="s">
        <v>66</v>
      </c>
      <c r="I1079" s="95"/>
      <c r="J1079" s="37" t="str">
        <f t="shared" si="673"/>
        <v>rumus</v>
      </c>
      <c r="K1079" s="89"/>
      <c r="L1079" s="89"/>
    </row>
    <row r="1080" spans="1:13" s="41" customFormat="1" ht="15" hidden="1" customHeight="1" x14ac:dyDescent="0.45">
      <c r="A1080" s="67">
        <v>6</v>
      </c>
      <c r="B1080" s="199" t="s">
        <v>98</v>
      </c>
      <c r="C1080" s="172" t="s">
        <v>146</v>
      </c>
      <c r="D1080" s="28" t="str">
        <f t="shared" si="669"/>
        <v/>
      </c>
      <c r="E1080" s="256" t="str">
        <f t="shared" si="670"/>
        <v/>
      </c>
      <c r="F1080" s="256" t="str">
        <f t="shared" si="671"/>
        <v/>
      </c>
      <c r="G1080" s="159" t="str">
        <f t="shared" si="672"/>
        <v>rumus</v>
      </c>
      <c r="H1080" s="39" t="s">
        <v>66</v>
      </c>
      <c r="I1080" s="95"/>
      <c r="J1080" s="37" t="str">
        <f t="shared" si="673"/>
        <v>rumus</v>
      </c>
      <c r="K1080" s="89"/>
      <c r="L1080" s="89"/>
    </row>
    <row r="1081" spans="1:13" s="41" customFormat="1" ht="15" hidden="1" customHeight="1" x14ac:dyDescent="0.45">
      <c r="A1081" s="67">
        <v>7</v>
      </c>
      <c r="B1081" s="199" t="s">
        <v>98</v>
      </c>
      <c r="C1081" s="28" t="s">
        <v>108</v>
      </c>
      <c r="D1081" s="28" t="str">
        <f t="shared" si="669"/>
        <v/>
      </c>
      <c r="E1081" s="256" t="str">
        <f t="shared" si="670"/>
        <v/>
      </c>
      <c r="F1081" s="256" t="str">
        <f t="shared" si="671"/>
        <v/>
      </c>
      <c r="G1081" s="159" t="str">
        <f t="shared" si="672"/>
        <v>rumus</v>
      </c>
      <c r="H1081" s="39" t="s">
        <v>66</v>
      </c>
      <c r="I1081" s="95"/>
      <c r="J1081" s="37" t="str">
        <f t="shared" si="673"/>
        <v>rumus</v>
      </c>
      <c r="K1081" s="89"/>
      <c r="L1081" s="89"/>
    </row>
    <row r="1082" spans="1:13" s="41" customFormat="1" ht="15" hidden="1" customHeight="1" x14ac:dyDescent="0.45">
      <c r="A1082" s="67">
        <v>8</v>
      </c>
      <c r="B1082" s="199" t="s">
        <v>98</v>
      </c>
      <c r="C1082" s="28" t="s">
        <v>112</v>
      </c>
      <c r="D1082" s="28" t="str">
        <f t="shared" si="669"/>
        <v/>
      </c>
      <c r="E1082" s="256" t="str">
        <f t="shared" si="670"/>
        <v/>
      </c>
      <c r="F1082" s="256" t="str">
        <f t="shared" si="671"/>
        <v/>
      </c>
      <c r="G1082" s="159" t="str">
        <f t="shared" si="672"/>
        <v>rumus</v>
      </c>
      <c r="H1082" s="39" t="s">
        <v>66</v>
      </c>
      <c r="I1082" s="95"/>
      <c r="J1082" s="37" t="str">
        <f t="shared" si="673"/>
        <v>rumus</v>
      </c>
      <c r="K1082" s="89"/>
      <c r="L1082" s="89"/>
    </row>
    <row r="1083" spans="1:13" s="41" customFormat="1" ht="15" hidden="1" customHeight="1" x14ac:dyDescent="0.45">
      <c r="A1083" s="67">
        <v>9</v>
      </c>
      <c r="B1083" s="199" t="s">
        <v>98</v>
      </c>
      <c r="C1083" s="28" t="s">
        <v>113</v>
      </c>
      <c r="D1083" s="28" t="str">
        <f t="shared" si="669"/>
        <v/>
      </c>
      <c r="E1083" s="256" t="str">
        <f t="shared" si="670"/>
        <v/>
      </c>
      <c r="F1083" s="256" t="str">
        <f t="shared" si="671"/>
        <v/>
      </c>
      <c r="G1083" s="159" t="str">
        <f t="shared" si="672"/>
        <v>rumus</v>
      </c>
      <c r="H1083" s="39" t="s">
        <v>66</v>
      </c>
      <c r="I1083" s="95"/>
      <c r="J1083" s="37" t="str">
        <f t="shared" si="673"/>
        <v>rumus</v>
      </c>
      <c r="K1083" s="89"/>
      <c r="L1083" s="89"/>
    </row>
    <row r="1084" spans="1:13" s="41" customFormat="1" ht="15" hidden="1" customHeight="1" x14ac:dyDescent="0.45">
      <c r="A1084" s="67">
        <v>10</v>
      </c>
      <c r="B1084" s="199" t="s">
        <v>98</v>
      </c>
      <c r="C1084" s="28" t="s">
        <v>114</v>
      </c>
      <c r="D1084" s="28" t="str">
        <f t="shared" si="669"/>
        <v/>
      </c>
      <c r="E1084" s="256" t="str">
        <f t="shared" si="670"/>
        <v/>
      </c>
      <c r="F1084" s="256" t="str">
        <f t="shared" si="671"/>
        <v/>
      </c>
      <c r="G1084" s="159" t="str">
        <f t="shared" si="672"/>
        <v>rumus</v>
      </c>
      <c r="H1084" s="39" t="s">
        <v>66</v>
      </c>
      <c r="I1084" s="95"/>
      <c r="J1084" s="37" t="str">
        <f t="shared" si="673"/>
        <v>rumus</v>
      </c>
      <c r="K1084" s="89"/>
      <c r="L1084" s="89"/>
    </row>
    <row r="1085" spans="1:13" s="41" customFormat="1" ht="15" hidden="1" customHeight="1" x14ac:dyDescent="0.45">
      <c r="A1085" s="67">
        <v>11</v>
      </c>
      <c r="B1085" s="199" t="s">
        <v>98</v>
      </c>
      <c r="C1085" s="28" t="s">
        <v>251</v>
      </c>
      <c r="D1085" s="28" t="str">
        <f t="shared" si="669"/>
        <v/>
      </c>
      <c r="E1085" s="256" t="str">
        <f t="shared" si="670"/>
        <v/>
      </c>
      <c r="F1085" s="256" t="str">
        <f t="shared" si="671"/>
        <v/>
      </c>
      <c r="G1085" s="159" t="str">
        <f t="shared" si="672"/>
        <v>rumus</v>
      </c>
      <c r="H1085" s="39" t="s">
        <v>66</v>
      </c>
      <c r="I1085" s="95"/>
      <c r="J1085" s="37" t="str">
        <f t="shared" si="673"/>
        <v>rumus</v>
      </c>
      <c r="K1085" s="89"/>
      <c r="L1085" s="89"/>
    </row>
    <row r="1086" spans="1:13" s="41" customFormat="1" ht="15" hidden="1" customHeight="1" x14ac:dyDescent="0.45">
      <c r="A1086" s="67">
        <v>12</v>
      </c>
      <c r="B1086" s="199" t="s">
        <v>98</v>
      </c>
      <c r="C1086" s="28" t="s">
        <v>252</v>
      </c>
      <c r="D1086" s="28" t="str">
        <f t="shared" si="669"/>
        <v/>
      </c>
      <c r="E1086" s="256" t="str">
        <f t="shared" si="670"/>
        <v/>
      </c>
      <c r="F1086" s="256" t="str">
        <f t="shared" si="671"/>
        <v/>
      </c>
      <c r="G1086" s="159" t="str">
        <f t="shared" si="672"/>
        <v>rumus</v>
      </c>
      <c r="H1086" s="39" t="s">
        <v>66</v>
      </c>
      <c r="I1086" s="95"/>
      <c r="J1086" s="37" t="str">
        <f t="shared" si="673"/>
        <v>rumus</v>
      </c>
      <c r="K1086" s="89"/>
      <c r="L1086" s="89"/>
    </row>
    <row r="1087" spans="1:13" s="41" customFormat="1" ht="15" hidden="1" customHeight="1" x14ac:dyDescent="0.45">
      <c r="A1087" s="70"/>
      <c r="B1087" s="264" t="s">
        <v>111</v>
      </c>
      <c r="C1087" s="116"/>
      <c r="D1087" s="116"/>
      <c r="E1087" s="116"/>
      <c r="F1087" s="116"/>
      <c r="G1087" s="57"/>
      <c r="H1087" s="58"/>
      <c r="I1087" s="89"/>
      <c r="J1087" s="89"/>
      <c r="K1087" s="89">
        <f>SUM(J1075:J1086)</f>
        <v>0</v>
      </c>
      <c r="L1087" s="89"/>
    </row>
    <row r="1088" spans="1:13" s="41" customFormat="1" ht="15" hidden="1" customHeight="1" x14ac:dyDescent="0.45">
      <c r="A1088" s="67">
        <v>1</v>
      </c>
      <c r="B1088" s="199" t="s">
        <v>98</v>
      </c>
      <c r="C1088" s="28" t="s">
        <v>141</v>
      </c>
      <c r="D1088" s="28" t="str">
        <f>IF(G1088&lt;&gt;"rumus","Kegiatan","")</f>
        <v/>
      </c>
      <c r="E1088" s="256" t="str">
        <f t="shared" ref="E1088:E1099" si="674">IF(I1088&lt;&gt;"",1,"")</f>
        <v/>
      </c>
      <c r="F1088" s="256" t="str">
        <f t="shared" ref="F1088:F1099" si="675">IF(I1088&lt;&gt;"",J1088,"")</f>
        <v/>
      </c>
      <c r="G1088" s="159" t="str">
        <f t="shared" ref="G1088:G1099" si="676">IF(J1088&lt;&gt;"rumus","1 x "&amp;J1088&amp;" = "&amp;J1088,"rumus")</f>
        <v>rumus</v>
      </c>
      <c r="H1088" s="28" t="s">
        <v>109</v>
      </c>
      <c r="I1088" s="95"/>
      <c r="J1088" s="37" t="str">
        <f>IF(I1088&lt;&gt;"",IF(I1088="a.Pembimbing pencangkokan persemester",2,IF(I1088="b.Reguler persemester",1,"")),"rumus")</f>
        <v>rumus</v>
      </c>
      <c r="K1088" s="89"/>
      <c r="L1088" s="89"/>
    </row>
    <row r="1089" spans="1:13" s="41" customFormat="1" ht="15" hidden="1" customHeight="1" x14ac:dyDescent="0.45">
      <c r="A1089" s="67">
        <v>2</v>
      </c>
      <c r="B1089" s="199" t="s">
        <v>98</v>
      </c>
      <c r="C1089" s="28" t="s">
        <v>142</v>
      </c>
      <c r="D1089" s="28" t="str">
        <f t="shared" ref="D1089:D1099" si="677">IF(G1089&lt;&gt;"rumus","Kegiatan","")</f>
        <v/>
      </c>
      <c r="E1089" s="256" t="str">
        <f t="shared" si="674"/>
        <v/>
      </c>
      <c r="F1089" s="256" t="str">
        <f t="shared" si="675"/>
        <v/>
      </c>
      <c r="G1089" s="159" t="str">
        <f t="shared" si="676"/>
        <v>rumus</v>
      </c>
      <c r="H1089" s="39" t="s">
        <v>66</v>
      </c>
      <c r="I1089" s="95"/>
      <c r="J1089" s="37" t="str">
        <f t="shared" ref="J1089:J1099" si="678">IF(I1089&lt;&gt;"",IF(I1089="a.Pembimbing pencangkokan persemester",2,IF(I1089="b.Reguler persemester",1,"")),"rumus")</f>
        <v>rumus</v>
      </c>
      <c r="K1089" s="89"/>
      <c r="L1089" s="89"/>
    </row>
    <row r="1090" spans="1:13" s="41" customFormat="1" ht="15" hidden="1" customHeight="1" x14ac:dyDescent="0.45">
      <c r="A1090" s="67">
        <v>3</v>
      </c>
      <c r="B1090" s="199" t="s">
        <v>98</v>
      </c>
      <c r="C1090" s="172" t="s">
        <v>143</v>
      </c>
      <c r="D1090" s="28" t="str">
        <f t="shared" si="677"/>
        <v/>
      </c>
      <c r="E1090" s="256" t="str">
        <f t="shared" si="674"/>
        <v/>
      </c>
      <c r="F1090" s="256" t="str">
        <f t="shared" si="675"/>
        <v/>
      </c>
      <c r="G1090" s="159" t="str">
        <f t="shared" si="676"/>
        <v>rumus</v>
      </c>
      <c r="H1090" s="39" t="s">
        <v>66</v>
      </c>
      <c r="I1090" s="95"/>
      <c r="J1090" s="37" t="str">
        <f t="shared" si="678"/>
        <v>rumus</v>
      </c>
      <c r="K1090" s="89"/>
      <c r="L1090" s="89"/>
    </row>
    <row r="1091" spans="1:13" s="41" customFormat="1" ht="15" hidden="1" customHeight="1" x14ac:dyDescent="0.45">
      <c r="A1091" s="67">
        <v>4</v>
      </c>
      <c r="B1091" s="199" t="s">
        <v>98</v>
      </c>
      <c r="C1091" s="28" t="s">
        <v>144</v>
      </c>
      <c r="D1091" s="28" t="str">
        <f t="shared" si="677"/>
        <v/>
      </c>
      <c r="E1091" s="256" t="str">
        <f t="shared" si="674"/>
        <v/>
      </c>
      <c r="F1091" s="256" t="str">
        <f t="shared" si="675"/>
        <v/>
      </c>
      <c r="G1091" s="159" t="str">
        <f t="shared" si="676"/>
        <v>rumus</v>
      </c>
      <c r="H1091" s="39" t="s">
        <v>66</v>
      </c>
      <c r="I1091" s="95"/>
      <c r="J1091" s="37" t="str">
        <f t="shared" si="678"/>
        <v>rumus</v>
      </c>
      <c r="K1091" s="89"/>
      <c r="L1091" s="89"/>
    </row>
    <row r="1092" spans="1:13" s="41" customFormat="1" ht="15" hidden="1" customHeight="1" x14ac:dyDescent="0.45">
      <c r="A1092" s="67">
        <v>5</v>
      </c>
      <c r="B1092" s="199" t="s">
        <v>98</v>
      </c>
      <c r="C1092" s="172" t="s">
        <v>145</v>
      </c>
      <c r="D1092" s="28" t="str">
        <f t="shared" si="677"/>
        <v/>
      </c>
      <c r="E1092" s="256" t="str">
        <f t="shared" si="674"/>
        <v/>
      </c>
      <c r="F1092" s="256" t="str">
        <f t="shared" si="675"/>
        <v/>
      </c>
      <c r="G1092" s="159" t="str">
        <f t="shared" si="676"/>
        <v>rumus</v>
      </c>
      <c r="H1092" s="39" t="s">
        <v>66</v>
      </c>
      <c r="I1092" s="95"/>
      <c r="J1092" s="37" t="str">
        <f t="shared" si="678"/>
        <v>rumus</v>
      </c>
      <c r="K1092" s="89"/>
      <c r="L1092" s="89"/>
    </row>
    <row r="1093" spans="1:13" s="41" customFormat="1" ht="15" hidden="1" customHeight="1" x14ac:dyDescent="0.45">
      <c r="A1093" s="67">
        <v>6</v>
      </c>
      <c r="B1093" s="199" t="s">
        <v>98</v>
      </c>
      <c r="C1093" s="172" t="s">
        <v>146</v>
      </c>
      <c r="D1093" s="28" t="str">
        <f t="shared" si="677"/>
        <v/>
      </c>
      <c r="E1093" s="256" t="str">
        <f t="shared" si="674"/>
        <v/>
      </c>
      <c r="F1093" s="256" t="str">
        <f t="shared" si="675"/>
        <v/>
      </c>
      <c r="G1093" s="159" t="str">
        <f t="shared" si="676"/>
        <v>rumus</v>
      </c>
      <c r="H1093" s="39" t="s">
        <v>66</v>
      </c>
      <c r="I1093" s="95"/>
      <c r="J1093" s="37" t="str">
        <f t="shared" si="678"/>
        <v>rumus</v>
      </c>
      <c r="K1093" s="89"/>
      <c r="L1093" s="89"/>
    </row>
    <row r="1094" spans="1:13" s="41" customFormat="1" ht="15" hidden="1" customHeight="1" x14ac:dyDescent="0.45">
      <c r="A1094" s="67">
        <v>7</v>
      </c>
      <c r="B1094" s="199" t="s">
        <v>98</v>
      </c>
      <c r="C1094" s="28" t="s">
        <v>108</v>
      </c>
      <c r="D1094" s="28" t="str">
        <f t="shared" si="677"/>
        <v/>
      </c>
      <c r="E1094" s="256" t="str">
        <f t="shared" si="674"/>
        <v/>
      </c>
      <c r="F1094" s="256" t="str">
        <f t="shared" si="675"/>
        <v/>
      </c>
      <c r="G1094" s="159" t="str">
        <f t="shared" si="676"/>
        <v>rumus</v>
      </c>
      <c r="H1094" s="39" t="s">
        <v>66</v>
      </c>
      <c r="I1094" s="95"/>
      <c r="J1094" s="37" t="str">
        <f t="shared" si="678"/>
        <v>rumus</v>
      </c>
      <c r="K1094" s="89"/>
      <c r="L1094" s="89"/>
    </row>
    <row r="1095" spans="1:13" s="41" customFormat="1" ht="15" hidden="1" customHeight="1" x14ac:dyDescent="0.45">
      <c r="A1095" s="67">
        <v>8</v>
      </c>
      <c r="B1095" s="199" t="s">
        <v>98</v>
      </c>
      <c r="C1095" s="28" t="s">
        <v>112</v>
      </c>
      <c r="D1095" s="28" t="str">
        <f t="shared" si="677"/>
        <v/>
      </c>
      <c r="E1095" s="256" t="str">
        <f t="shared" si="674"/>
        <v/>
      </c>
      <c r="F1095" s="256" t="str">
        <f t="shared" si="675"/>
        <v/>
      </c>
      <c r="G1095" s="159" t="str">
        <f t="shared" si="676"/>
        <v>rumus</v>
      </c>
      <c r="H1095" s="39" t="s">
        <v>66</v>
      </c>
      <c r="I1095" s="95"/>
      <c r="J1095" s="37" t="str">
        <f t="shared" si="678"/>
        <v>rumus</v>
      </c>
      <c r="K1095" s="89"/>
      <c r="L1095" s="89"/>
    </row>
    <row r="1096" spans="1:13" s="41" customFormat="1" ht="15" hidden="1" customHeight="1" x14ac:dyDescent="0.45">
      <c r="A1096" s="67">
        <v>9</v>
      </c>
      <c r="B1096" s="199" t="s">
        <v>98</v>
      </c>
      <c r="C1096" s="28" t="s">
        <v>113</v>
      </c>
      <c r="D1096" s="28" t="str">
        <f t="shared" si="677"/>
        <v/>
      </c>
      <c r="E1096" s="256" t="str">
        <f t="shared" si="674"/>
        <v/>
      </c>
      <c r="F1096" s="256" t="str">
        <f t="shared" si="675"/>
        <v/>
      </c>
      <c r="G1096" s="159" t="str">
        <f t="shared" si="676"/>
        <v>rumus</v>
      </c>
      <c r="H1096" s="39" t="s">
        <v>66</v>
      </c>
      <c r="I1096" s="95"/>
      <c r="J1096" s="37" t="str">
        <f t="shared" si="678"/>
        <v>rumus</v>
      </c>
      <c r="K1096" s="89"/>
      <c r="L1096" s="89"/>
    </row>
    <row r="1097" spans="1:13" s="41" customFormat="1" ht="15" hidden="1" customHeight="1" x14ac:dyDescent="0.45">
      <c r="A1097" s="67">
        <v>10</v>
      </c>
      <c r="B1097" s="199" t="s">
        <v>98</v>
      </c>
      <c r="C1097" s="28" t="s">
        <v>114</v>
      </c>
      <c r="D1097" s="28" t="str">
        <f t="shared" si="677"/>
        <v/>
      </c>
      <c r="E1097" s="256" t="str">
        <f t="shared" si="674"/>
        <v/>
      </c>
      <c r="F1097" s="256" t="str">
        <f t="shared" si="675"/>
        <v/>
      </c>
      <c r="G1097" s="159" t="str">
        <f t="shared" si="676"/>
        <v>rumus</v>
      </c>
      <c r="H1097" s="39" t="s">
        <v>66</v>
      </c>
      <c r="I1097" s="95"/>
      <c r="J1097" s="37" t="str">
        <f t="shared" si="678"/>
        <v>rumus</v>
      </c>
      <c r="K1097" s="89"/>
      <c r="L1097" s="89"/>
    </row>
    <row r="1098" spans="1:13" s="41" customFormat="1" ht="15" hidden="1" customHeight="1" x14ac:dyDescent="0.45">
      <c r="A1098" s="67">
        <v>11</v>
      </c>
      <c r="B1098" s="199" t="s">
        <v>98</v>
      </c>
      <c r="C1098" s="28" t="s">
        <v>251</v>
      </c>
      <c r="D1098" s="28" t="str">
        <f t="shared" si="677"/>
        <v/>
      </c>
      <c r="E1098" s="256" t="str">
        <f t="shared" si="674"/>
        <v/>
      </c>
      <c r="F1098" s="256" t="str">
        <f t="shared" si="675"/>
        <v/>
      </c>
      <c r="G1098" s="159" t="str">
        <f t="shared" si="676"/>
        <v>rumus</v>
      </c>
      <c r="H1098" s="39" t="s">
        <v>66</v>
      </c>
      <c r="I1098" s="95"/>
      <c r="J1098" s="37" t="str">
        <f t="shared" si="678"/>
        <v>rumus</v>
      </c>
      <c r="K1098" s="89"/>
      <c r="L1098" s="89"/>
    </row>
    <row r="1099" spans="1:13" s="41" customFormat="1" ht="15" hidden="1" customHeight="1" x14ac:dyDescent="0.45">
      <c r="A1099" s="67">
        <v>12</v>
      </c>
      <c r="B1099" s="199" t="s">
        <v>98</v>
      </c>
      <c r="C1099" s="28" t="s">
        <v>252</v>
      </c>
      <c r="D1099" s="28" t="str">
        <f t="shared" si="677"/>
        <v/>
      </c>
      <c r="E1099" s="256" t="str">
        <f t="shared" si="674"/>
        <v/>
      </c>
      <c r="F1099" s="256" t="str">
        <f t="shared" si="675"/>
        <v/>
      </c>
      <c r="G1099" s="159" t="str">
        <f t="shared" si="676"/>
        <v>rumus</v>
      </c>
      <c r="H1099" s="39" t="s">
        <v>66</v>
      </c>
      <c r="I1099" s="95"/>
      <c r="J1099" s="37" t="str">
        <f t="shared" si="678"/>
        <v>rumus</v>
      </c>
      <c r="K1099" s="89"/>
      <c r="L1099" s="89"/>
    </row>
    <row r="1100" spans="1:13" s="41" customFormat="1" ht="15" customHeight="1" x14ac:dyDescent="0.45">
      <c r="A1100" s="70"/>
      <c r="B1100" s="968" t="s">
        <v>67</v>
      </c>
      <c r="C1100" s="969"/>
      <c r="D1100" s="970"/>
      <c r="E1100" s="248"/>
      <c r="F1100" s="252"/>
      <c r="G1100" s="61">
        <f>SUM(K1076:K1100)</f>
        <v>0</v>
      </c>
      <c r="H1100" s="39"/>
      <c r="I1100" s="89"/>
      <c r="J1100" s="89"/>
      <c r="K1100" s="89">
        <f>SUM(J1088:J1099)</f>
        <v>0</v>
      </c>
      <c r="L1100" s="89"/>
    </row>
    <row r="1101" spans="1:13" s="41" customFormat="1" ht="15" customHeight="1" x14ac:dyDescent="0.45">
      <c r="A1101" s="85" t="s">
        <v>126</v>
      </c>
      <c r="B1101" s="71" t="s">
        <v>286</v>
      </c>
      <c r="C1101" s="65"/>
      <c r="D1101" s="65"/>
      <c r="E1101" s="65"/>
      <c r="F1101" s="65"/>
      <c r="G1101" s="65"/>
      <c r="H1101" s="66"/>
      <c r="I1101" s="89"/>
      <c r="J1101" s="89"/>
      <c r="K1101" s="89"/>
      <c r="L1101" s="89"/>
      <c r="M1101" s="89"/>
    </row>
    <row r="1102" spans="1:13" s="41" customFormat="1" ht="15" hidden="1" customHeight="1" x14ac:dyDescent="0.45">
      <c r="A1102" s="67"/>
      <c r="B1102" s="262" t="s">
        <v>110</v>
      </c>
      <c r="C1102" s="57"/>
      <c r="D1102" s="57"/>
      <c r="E1102" s="57"/>
      <c r="F1102" s="57"/>
      <c r="G1102" s="57"/>
      <c r="H1102" s="58"/>
      <c r="I1102" s="89"/>
      <c r="J1102" s="89"/>
      <c r="K1102" s="89"/>
      <c r="L1102" s="89"/>
      <c r="M1102" s="89"/>
    </row>
    <row r="1103" spans="1:13" s="41" customFormat="1" ht="15" hidden="1" customHeight="1" x14ac:dyDescent="0.45">
      <c r="A1103" s="67">
        <v>1</v>
      </c>
      <c r="B1103" s="163" t="s">
        <v>98</v>
      </c>
      <c r="C1103" s="28" t="s">
        <v>141</v>
      </c>
      <c r="D1103" s="28" t="str">
        <f t="shared" ref="D1103" si="679">IF(G1103&lt;&gt;"rumus","Kegiatan","")</f>
        <v/>
      </c>
      <c r="E1103" s="256" t="str">
        <f t="shared" ref="E1103" si="680">IF(I1103&lt;&gt;"",1,"")</f>
        <v/>
      </c>
      <c r="F1103" s="256" t="str">
        <f t="shared" ref="F1103" si="681">IF(I1103&lt;&gt;"",J1103,"")</f>
        <v/>
      </c>
      <c r="G1103" s="159" t="str">
        <f t="shared" ref="G1103" si="682">IF(J1103&lt;&gt;"rumus","1 x "&amp;J1103&amp;" = "&amp;J1103,"rumus")</f>
        <v>rumus</v>
      </c>
      <c r="H1103" s="28" t="s">
        <v>109</v>
      </c>
      <c r="I1103" s="95"/>
      <c r="J1103" s="37" t="str">
        <f>IF(I1103="a.Detasering persemester",5,IF(I1103="b.Pencangkokan persemester",4,"rumus"))</f>
        <v>rumus</v>
      </c>
      <c r="K1103" s="89"/>
      <c r="L1103" s="89"/>
    </row>
    <row r="1104" spans="1:13" s="41" customFormat="1" ht="15" hidden="1" customHeight="1" x14ac:dyDescent="0.45">
      <c r="A1104" s="67">
        <v>2</v>
      </c>
      <c r="B1104" s="186" t="s">
        <v>98</v>
      </c>
      <c r="C1104" s="28" t="s">
        <v>142</v>
      </c>
      <c r="D1104" s="28" t="str">
        <f t="shared" ref="D1104:D1114" si="683">IF(G1104&lt;&gt;"rumus","Kegiatan","")</f>
        <v/>
      </c>
      <c r="E1104" s="256" t="str">
        <f t="shared" ref="E1104:E1114" si="684">IF(I1104&lt;&gt;"",1,"")</f>
        <v/>
      </c>
      <c r="F1104" s="256" t="str">
        <f t="shared" ref="F1104:F1114" si="685">IF(I1104&lt;&gt;"",J1104,"")</f>
        <v/>
      </c>
      <c r="G1104" s="159" t="str">
        <f t="shared" ref="G1104:G1114" si="686">IF(J1104&lt;&gt;"rumus","1 x "&amp;J1104&amp;" = "&amp;J1104,"rumus")</f>
        <v>rumus</v>
      </c>
      <c r="H1104" s="39" t="s">
        <v>66</v>
      </c>
      <c r="I1104" s="95"/>
      <c r="J1104" s="37" t="str">
        <f t="shared" ref="J1104:J1114" si="687">IF(I1104="a.Detasering persemester",5,IF(I1104="b.Pencangkokan persemester",4,"rumus"))</f>
        <v>rumus</v>
      </c>
      <c r="K1104" s="89"/>
      <c r="L1104" s="89"/>
    </row>
    <row r="1105" spans="1:12" s="41" customFormat="1" ht="15" hidden="1" customHeight="1" x14ac:dyDescent="0.45">
      <c r="A1105" s="67">
        <v>3</v>
      </c>
      <c r="B1105" s="186" t="s">
        <v>98</v>
      </c>
      <c r="C1105" s="172" t="s">
        <v>143</v>
      </c>
      <c r="D1105" s="28" t="str">
        <f t="shared" si="683"/>
        <v/>
      </c>
      <c r="E1105" s="256" t="str">
        <f t="shared" si="684"/>
        <v/>
      </c>
      <c r="F1105" s="256" t="str">
        <f t="shared" si="685"/>
        <v/>
      </c>
      <c r="G1105" s="159" t="str">
        <f t="shared" si="686"/>
        <v>rumus</v>
      </c>
      <c r="H1105" s="39" t="s">
        <v>66</v>
      </c>
      <c r="I1105" s="95"/>
      <c r="J1105" s="37" t="str">
        <f t="shared" si="687"/>
        <v>rumus</v>
      </c>
      <c r="K1105" s="89"/>
      <c r="L1105" s="89"/>
    </row>
    <row r="1106" spans="1:12" s="41" customFormat="1" ht="15" hidden="1" customHeight="1" x14ac:dyDescent="0.45">
      <c r="A1106" s="67">
        <v>4</v>
      </c>
      <c r="B1106" s="186" t="s">
        <v>98</v>
      </c>
      <c r="C1106" s="28" t="s">
        <v>144</v>
      </c>
      <c r="D1106" s="28" t="str">
        <f t="shared" si="683"/>
        <v/>
      </c>
      <c r="E1106" s="256" t="str">
        <f t="shared" si="684"/>
        <v/>
      </c>
      <c r="F1106" s="256" t="str">
        <f t="shared" si="685"/>
        <v/>
      </c>
      <c r="G1106" s="159" t="str">
        <f t="shared" si="686"/>
        <v>rumus</v>
      </c>
      <c r="H1106" s="39" t="s">
        <v>66</v>
      </c>
      <c r="I1106" s="95"/>
      <c r="J1106" s="37" t="str">
        <f t="shared" si="687"/>
        <v>rumus</v>
      </c>
      <c r="K1106" s="89"/>
      <c r="L1106" s="89"/>
    </row>
    <row r="1107" spans="1:12" s="41" customFormat="1" ht="15" hidden="1" customHeight="1" x14ac:dyDescent="0.45">
      <c r="A1107" s="67">
        <v>5</v>
      </c>
      <c r="B1107" s="186" t="s">
        <v>98</v>
      </c>
      <c r="C1107" s="172" t="s">
        <v>145</v>
      </c>
      <c r="D1107" s="28" t="str">
        <f t="shared" si="683"/>
        <v/>
      </c>
      <c r="E1107" s="256" t="str">
        <f t="shared" si="684"/>
        <v/>
      </c>
      <c r="F1107" s="256" t="str">
        <f t="shared" si="685"/>
        <v/>
      </c>
      <c r="G1107" s="159" t="str">
        <f t="shared" si="686"/>
        <v>rumus</v>
      </c>
      <c r="H1107" s="39" t="s">
        <v>66</v>
      </c>
      <c r="I1107" s="95"/>
      <c r="J1107" s="37" t="str">
        <f t="shared" si="687"/>
        <v>rumus</v>
      </c>
      <c r="K1107" s="89"/>
      <c r="L1107" s="89"/>
    </row>
    <row r="1108" spans="1:12" s="41" customFormat="1" ht="15" hidden="1" customHeight="1" x14ac:dyDescent="0.45">
      <c r="A1108" s="67">
        <v>6</v>
      </c>
      <c r="B1108" s="186" t="s">
        <v>98</v>
      </c>
      <c r="C1108" s="172" t="s">
        <v>146</v>
      </c>
      <c r="D1108" s="28" t="str">
        <f t="shared" si="683"/>
        <v/>
      </c>
      <c r="E1108" s="256" t="str">
        <f t="shared" si="684"/>
        <v/>
      </c>
      <c r="F1108" s="256" t="str">
        <f t="shared" si="685"/>
        <v/>
      </c>
      <c r="G1108" s="159" t="str">
        <f t="shared" si="686"/>
        <v>rumus</v>
      </c>
      <c r="H1108" s="39" t="s">
        <v>66</v>
      </c>
      <c r="I1108" s="95"/>
      <c r="J1108" s="37" t="str">
        <f t="shared" si="687"/>
        <v>rumus</v>
      </c>
      <c r="K1108" s="89"/>
      <c r="L1108" s="89"/>
    </row>
    <row r="1109" spans="1:12" s="41" customFormat="1" ht="15" hidden="1" customHeight="1" x14ac:dyDescent="0.45">
      <c r="A1109" s="67">
        <v>7</v>
      </c>
      <c r="B1109" s="186" t="s">
        <v>98</v>
      </c>
      <c r="C1109" s="28" t="s">
        <v>108</v>
      </c>
      <c r="D1109" s="28" t="str">
        <f t="shared" si="683"/>
        <v/>
      </c>
      <c r="E1109" s="256" t="str">
        <f t="shared" si="684"/>
        <v/>
      </c>
      <c r="F1109" s="256" t="str">
        <f t="shared" si="685"/>
        <v/>
      </c>
      <c r="G1109" s="159" t="str">
        <f t="shared" si="686"/>
        <v>rumus</v>
      </c>
      <c r="H1109" s="39" t="s">
        <v>66</v>
      </c>
      <c r="I1109" s="95"/>
      <c r="J1109" s="37" t="str">
        <f t="shared" si="687"/>
        <v>rumus</v>
      </c>
      <c r="K1109" s="89"/>
      <c r="L1109" s="89"/>
    </row>
    <row r="1110" spans="1:12" s="41" customFormat="1" ht="15" hidden="1" customHeight="1" x14ac:dyDescent="0.45">
      <c r="A1110" s="67">
        <v>8</v>
      </c>
      <c r="B1110" s="186" t="s">
        <v>98</v>
      </c>
      <c r="C1110" s="28" t="s">
        <v>112</v>
      </c>
      <c r="D1110" s="28" t="str">
        <f t="shared" si="683"/>
        <v/>
      </c>
      <c r="E1110" s="256" t="str">
        <f t="shared" si="684"/>
        <v/>
      </c>
      <c r="F1110" s="256" t="str">
        <f t="shared" si="685"/>
        <v/>
      </c>
      <c r="G1110" s="159" t="str">
        <f t="shared" si="686"/>
        <v>rumus</v>
      </c>
      <c r="H1110" s="39" t="s">
        <v>66</v>
      </c>
      <c r="I1110" s="95"/>
      <c r="J1110" s="37" t="str">
        <f t="shared" si="687"/>
        <v>rumus</v>
      </c>
      <c r="K1110" s="89"/>
      <c r="L1110" s="89"/>
    </row>
    <row r="1111" spans="1:12" s="41" customFormat="1" ht="15" hidden="1" customHeight="1" x14ac:dyDescent="0.45">
      <c r="A1111" s="67">
        <v>9</v>
      </c>
      <c r="B1111" s="186" t="s">
        <v>98</v>
      </c>
      <c r="C1111" s="28" t="s">
        <v>113</v>
      </c>
      <c r="D1111" s="28" t="str">
        <f t="shared" si="683"/>
        <v/>
      </c>
      <c r="E1111" s="256" t="str">
        <f t="shared" si="684"/>
        <v/>
      </c>
      <c r="F1111" s="256" t="str">
        <f t="shared" si="685"/>
        <v/>
      </c>
      <c r="G1111" s="159" t="str">
        <f t="shared" si="686"/>
        <v>rumus</v>
      </c>
      <c r="H1111" s="39" t="s">
        <v>66</v>
      </c>
      <c r="I1111" s="95"/>
      <c r="J1111" s="37" t="str">
        <f t="shared" si="687"/>
        <v>rumus</v>
      </c>
      <c r="K1111" s="89"/>
      <c r="L1111" s="89"/>
    </row>
    <row r="1112" spans="1:12" s="41" customFormat="1" ht="15" hidden="1" customHeight="1" x14ac:dyDescent="0.45">
      <c r="A1112" s="67">
        <v>10</v>
      </c>
      <c r="B1112" s="186" t="s">
        <v>98</v>
      </c>
      <c r="C1112" s="28" t="s">
        <v>114</v>
      </c>
      <c r="D1112" s="28" t="str">
        <f t="shared" si="683"/>
        <v/>
      </c>
      <c r="E1112" s="256" t="str">
        <f t="shared" si="684"/>
        <v/>
      </c>
      <c r="F1112" s="256" t="str">
        <f t="shared" si="685"/>
        <v/>
      </c>
      <c r="G1112" s="159" t="str">
        <f t="shared" si="686"/>
        <v>rumus</v>
      </c>
      <c r="H1112" s="39" t="s">
        <v>66</v>
      </c>
      <c r="I1112" s="95"/>
      <c r="J1112" s="37" t="str">
        <f t="shared" si="687"/>
        <v>rumus</v>
      </c>
      <c r="K1112" s="89"/>
      <c r="L1112" s="89"/>
    </row>
    <row r="1113" spans="1:12" s="41" customFormat="1" ht="15" hidden="1" customHeight="1" x14ac:dyDescent="0.45">
      <c r="A1113" s="67">
        <v>11</v>
      </c>
      <c r="B1113" s="186" t="s">
        <v>98</v>
      </c>
      <c r="C1113" s="28" t="s">
        <v>251</v>
      </c>
      <c r="D1113" s="28" t="str">
        <f t="shared" si="683"/>
        <v/>
      </c>
      <c r="E1113" s="256" t="str">
        <f t="shared" si="684"/>
        <v/>
      </c>
      <c r="F1113" s="256" t="str">
        <f t="shared" si="685"/>
        <v/>
      </c>
      <c r="G1113" s="159" t="str">
        <f t="shared" si="686"/>
        <v>rumus</v>
      </c>
      <c r="H1113" s="39" t="s">
        <v>66</v>
      </c>
      <c r="I1113" s="95"/>
      <c r="J1113" s="37" t="str">
        <f t="shared" si="687"/>
        <v>rumus</v>
      </c>
      <c r="K1113" s="89"/>
      <c r="L1113" s="89"/>
    </row>
    <row r="1114" spans="1:12" s="41" customFormat="1" ht="15" hidden="1" customHeight="1" x14ac:dyDescent="0.45">
      <c r="A1114" s="67">
        <v>12</v>
      </c>
      <c r="B1114" s="186" t="s">
        <v>98</v>
      </c>
      <c r="C1114" s="28" t="s">
        <v>252</v>
      </c>
      <c r="D1114" s="28" t="str">
        <f t="shared" si="683"/>
        <v/>
      </c>
      <c r="E1114" s="256" t="str">
        <f t="shared" si="684"/>
        <v/>
      </c>
      <c r="F1114" s="256" t="str">
        <f t="shared" si="685"/>
        <v/>
      </c>
      <c r="G1114" s="159" t="str">
        <f t="shared" si="686"/>
        <v>rumus</v>
      </c>
      <c r="H1114" s="39" t="s">
        <v>66</v>
      </c>
      <c r="I1114" s="95"/>
      <c r="J1114" s="37" t="str">
        <f t="shared" si="687"/>
        <v>rumus</v>
      </c>
      <c r="K1114" s="89"/>
      <c r="L1114" s="89"/>
    </row>
    <row r="1115" spans="1:12" s="41" customFormat="1" ht="15" hidden="1" customHeight="1" x14ac:dyDescent="0.45">
      <c r="A1115" s="70"/>
      <c r="B1115" s="264" t="s">
        <v>111</v>
      </c>
      <c r="C1115" s="116"/>
      <c r="D1115" s="116"/>
      <c r="E1115" s="116"/>
      <c r="F1115" s="116"/>
      <c r="G1115" s="92"/>
      <c r="H1115" s="93"/>
      <c r="I1115" s="89"/>
      <c r="K1115" s="89">
        <f>SUM(J1103:J1114)</f>
        <v>0</v>
      </c>
    </row>
    <row r="1116" spans="1:12" s="41" customFormat="1" ht="15" hidden="1" customHeight="1" x14ac:dyDescent="0.45">
      <c r="A1116" s="67">
        <v>1</v>
      </c>
      <c r="B1116" s="163" t="s">
        <v>98</v>
      </c>
      <c r="C1116" s="28" t="s">
        <v>141</v>
      </c>
      <c r="D1116" s="28" t="str">
        <f t="shared" ref="D1116:D1127" si="688">IF(G1116&lt;&gt;"rumus","Kegiatan","")</f>
        <v/>
      </c>
      <c r="E1116" s="256" t="str">
        <f t="shared" ref="E1116:E1127" si="689">IF(I1116&lt;&gt;"",1,"")</f>
        <v/>
      </c>
      <c r="F1116" s="256" t="str">
        <f t="shared" ref="F1116:F1127" si="690">IF(I1116&lt;&gt;"",J1116,"")</f>
        <v/>
      </c>
      <c r="G1116" s="159" t="str">
        <f t="shared" ref="G1116:G1127" si="691">IF(J1116&lt;&gt;"rumus","1 x "&amp;J1116&amp;" = "&amp;J1116,"rumus")</f>
        <v>rumus</v>
      </c>
      <c r="H1116" s="28" t="s">
        <v>109</v>
      </c>
      <c r="I1116" s="95"/>
      <c r="J1116" s="37" t="str">
        <f>IF(I1116="a.Detasering persemester",5,IF(I1116="b.Pencangkokan persemester",4,"rumus"))</f>
        <v>rumus</v>
      </c>
      <c r="K1116" s="89"/>
      <c r="L1116" s="89"/>
    </row>
    <row r="1117" spans="1:12" s="41" customFormat="1" ht="15" hidden="1" customHeight="1" x14ac:dyDescent="0.45">
      <c r="A1117" s="67">
        <v>2</v>
      </c>
      <c r="B1117" s="163" t="s">
        <v>98</v>
      </c>
      <c r="C1117" s="28" t="s">
        <v>142</v>
      </c>
      <c r="D1117" s="28" t="str">
        <f t="shared" si="688"/>
        <v/>
      </c>
      <c r="E1117" s="256" t="str">
        <f t="shared" si="689"/>
        <v/>
      </c>
      <c r="F1117" s="256" t="str">
        <f t="shared" si="690"/>
        <v/>
      </c>
      <c r="G1117" s="159" t="str">
        <f t="shared" si="691"/>
        <v>rumus</v>
      </c>
      <c r="H1117" s="39" t="s">
        <v>66</v>
      </c>
      <c r="I1117" s="95"/>
      <c r="J1117" s="37" t="str">
        <f t="shared" ref="J1117:J1127" si="692">IF(I1117="a.Detasering persemester",5,IF(I1117="b.Pencangkokan persemester",4,"rumus"))</f>
        <v>rumus</v>
      </c>
      <c r="K1117" s="89"/>
      <c r="L1117" s="89"/>
    </row>
    <row r="1118" spans="1:12" s="41" customFormat="1" ht="15" hidden="1" customHeight="1" x14ac:dyDescent="0.45">
      <c r="A1118" s="67">
        <v>3</v>
      </c>
      <c r="B1118" s="163" t="s">
        <v>98</v>
      </c>
      <c r="C1118" s="172" t="s">
        <v>143</v>
      </c>
      <c r="D1118" s="28" t="str">
        <f t="shared" si="688"/>
        <v/>
      </c>
      <c r="E1118" s="256" t="str">
        <f t="shared" si="689"/>
        <v/>
      </c>
      <c r="F1118" s="256" t="str">
        <f t="shared" si="690"/>
        <v/>
      </c>
      <c r="G1118" s="159" t="str">
        <f t="shared" si="691"/>
        <v>rumus</v>
      </c>
      <c r="H1118" s="39" t="s">
        <v>66</v>
      </c>
      <c r="I1118" s="95"/>
      <c r="J1118" s="37" t="str">
        <f t="shared" si="692"/>
        <v>rumus</v>
      </c>
      <c r="K1118" s="89"/>
      <c r="L1118" s="89"/>
    </row>
    <row r="1119" spans="1:12" s="41" customFormat="1" ht="15" hidden="1" customHeight="1" x14ac:dyDescent="0.45">
      <c r="A1119" s="67">
        <v>4</v>
      </c>
      <c r="B1119" s="163" t="s">
        <v>98</v>
      </c>
      <c r="C1119" s="28" t="s">
        <v>144</v>
      </c>
      <c r="D1119" s="28" t="str">
        <f t="shared" si="688"/>
        <v/>
      </c>
      <c r="E1119" s="256" t="str">
        <f t="shared" si="689"/>
        <v/>
      </c>
      <c r="F1119" s="256" t="str">
        <f t="shared" si="690"/>
        <v/>
      </c>
      <c r="G1119" s="159" t="str">
        <f t="shared" si="691"/>
        <v>rumus</v>
      </c>
      <c r="H1119" s="39" t="s">
        <v>66</v>
      </c>
      <c r="I1119" s="95"/>
      <c r="J1119" s="37" t="str">
        <f t="shared" si="692"/>
        <v>rumus</v>
      </c>
      <c r="K1119" s="89"/>
      <c r="L1119" s="89"/>
    </row>
    <row r="1120" spans="1:12" s="41" customFormat="1" ht="15" hidden="1" customHeight="1" x14ac:dyDescent="0.45">
      <c r="A1120" s="67">
        <v>5</v>
      </c>
      <c r="B1120" s="163" t="s">
        <v>98</v>
      </c>
      <c r="C1120" s="172" t="s">
        <v>145</v>
      </c>
      <c r="D1120" s="28" t="str">
        <f t="shared" si="688"/>
        <v/>
      </c>
      <c r="E1120" s="256" t="str">
        <f t="shared" si="689"/>
        <v/>
      </c>
      <c r="F1120" s="256" t="str">
        <f t="shared" si="690"/>
        <v/>
      </c>
      <c r="G1120" s="159" t="str">
        <f t="shared" si="691"/>
        <v>rumus</v>
      </c>
      <c r="H1120" s="39" t="s">
        <v>66</v>
      </c>
      <c r="I1120" s="95"/>
      <c r="J1120" s="37" t="str">
        <f t="shared" si="692"/>
        <v>rumus</v>
      </c>
      <c r="K1120" s="89"/>
      <c r="L1120" s="89"/>
    </row>
    <row r="1121" spans="1:13" s="41" customFormat="1" ht="15" hidden="1" customHeight="1" x14ac:dyDescent="0.45">
      <c r="A1121" s="67">
        <v>6</v>
      </c>
      <c r="B1121" s="163" t="s">
        <v>98</v>
      </c>
      <c r="C1121" s="172" t="s">
        <v>146</v>
      </c>
      <c r="D1121" s="28" t="str">
        <f t="shared" si="688"/>
        <v/>
      </c>
      <c r="E1121" s="256" t="str">
        <f t="shared" si="689"/>
        <v/>
      </c>
      <c r="F1121" s="256" t="str">
        <f t="shared" si="690"/>
        <v/>
      </c>
      <c r="G1121" s="159" t="str">
        <f t="shared" si="691"/>
        <v>rumus</v>
      </c>
      <c r="H1121" s="39" t="s">
        <v>66</v>
      </c>
      <c r="I1121" s="95"/>
      <c r="J1121" s="37" t="str">
        <f t="shared" si="692"/>
        <v>rumus</v>
      </c>
      <c r="K1121" s="89"/>
      <c r="L1121" s="89"/>
    </row>
    <row r="1122" spans="1:13" s="41" customFormat="1" ht="15" hidden="1" customHeight="1" x14ac:dyDescent="0.45">
      <c r="A1122" s="67">
        <v>7</v>
      </c>
      <c r="B1122" s="163" t="s">
        <v>98</v>
      </c>
      <c r="C1122" s="28" t="s">
        <v>108</v>
      </c>
      <c r="D1122" s="28" t="str">
        <f t="shared" si="688"/>
        <v/>
      </c>
      <c r="E1122" s="256" t="str">
        <f t="shared" si="689"/>
        <v/>
      </c>
      <c r="F1122" s="256" t="str">
        <f t="shared" si="690"/>
        <v/>
      </c>
      <c r="G1122" s="159" t="str">
        <f t="shared" si="691"/>
        <v>rumus</v>
      </c>
      <c r="H1122" s="39" t="s">
        <v>66</v>
      </c>
      <c r="I1122" s="95"/>
      <c r="J1122" s="37" t="str">
        <f t="shared" si="692"/>
        <v>rumus</v>
      </c>
      <c r="K1122" s="89"/>
      <c r="L1122" s="89"/>
    </row>
    <row r="1123" spans="1:13" s="41" customFormat="1" ht="15" hidden="1" customHeight="1" x14ac:dyDescent="0.45">
      <c r="A1123" s="67">
        <v>8</v>
      </c>
      <c r="B1123" s="186" t="s">
        <v>98</v>
      </c>
      <c r="C1123" s="28" t="s">
        <v>112</v>
      </c>
      <c r="D1123" s="28" t="str">
        <f t="shared" si="688"/>
        <v/>
      </c>
      <c r="E1123" s="256" t="str">
        <f t="shared" si="689"/>
        <v/>
      </c>
      <c r="F1123" s="256" t="str">
        <f t="shared" si="690"/>
        <v/>
      </c>
      <c r="G1123" s="159" t="str">
        <f t="shared" si="691"/>
        <v>rumus</v>
      </c>
      <c r="H1123" s="39" t="s">
        <v>66</v>
      </c>
      <c r="I1123" s="95"/>
      <c r="J1123" s="37" t="str">
        <f t="shared" si="692"/>
        <v>rumus</v>
      </c>
      <c r="K1123" s="89"/>
      <c r="L1123" s="89"/>
    </row>
    <row r="1124" spans="1:13" s="41" customFormat="1" ht="15" hidden="1" customHeight="1" x14ac:dyDescent="0.45">
      <c r="A1124" s="67">
        <v>9</v>
      </c>
      <c r="B1124" s="186" t="s">
        <v>98</v>
      </c>
      <c r="C1124" s="28" t="s">
        <v>113</v>
      </c>
      <c r="D1124" s="28" t="str">
        <f t="shared" si="688"/>
        <v/>
      </c>
      <c r="E1124" s="256" t="str">
        <f t="shared" si="689"/>
        <v/>
      </c>
      <c r="F1124" s="256" t="str">
        <f t="shared" si="690"/>
        <v/>
      </c>
      <c r="G1124" s="159" t="str">
        <f t="shared" si="691"/>
        <v>rumus</v>
      </c>
      <c r="H1124" s="39" t="s">
        <v>66</v>
      </c>
      <c r="I1124" s="95"/>
      <c r="J1124" s="37" t="str">
        <f t="shared" si="692"/>
        <v>rumus</v>
      </c>
      <c r="K1124" s="89"/>
      <c r="L1124" s="89"/>
    </row>
    <row r="1125" spans="1:13" s="41" customFormat="1" ht="15" hidden="1" customHeight="1" x14ac:dyDescent="0.45">
      <c r="A1125" s="67">
        <v>10</v>
      </c>
      <c r="B1125" s="186" t="s">
        <v>98</v>
      </c>
      <c r="C1125" s="28" t="s">
        <v>114</v>
      </c>
      <c r="D1125" s="28" t="str">
        <f t="shared" si="688"/>
        <v/>
      </c>
      <c r="E1125" s="256" t="str">
        <f t="shared" si="689"/>
        <v/>
      </c>
      <c r="F1125" s="256" t="str">
        <f t="shared" si="690"/>
        <v/>
      </c>
      <c r="G1125" s="159" t="str">
        <f t="shared" si="691"/>
        <v>rumus</v>
      </c>
      <c r="H1125" s="39" t="s">
        <v>66</v>
      </c>
      <c r="I1125" s="95"/>
      <c r="J1125" s="37" t="str">
        <f t="shared" si="692"/>
        <v>rumus</v>
      </c>
      <c r="K1125" s="89"/>
      <c r="L1125" s="89"/>
    </row>
    <row r="1126" spans="1:13" s="41" customFormat="1" ht="15" hidden="1" customHeight="1" x14ac:dyDescent="0.45">
      <c r="A1126" s="67">
        <v>11</v>
      </c>
      <c r="B1126" s="163" t="s">
        <v>98</v>
      </c>
      <c r="C1126" s="28" t="s">
        <v>251</v>
      </c>
      <c r="D1126" s="28" t="str">
        <f t="shared" si="688"/>
        <v/>
      </c>
      <c r="E1126" s="256" t="str">
        <f t="shared" si="689"/>
        <v/>
      </c>
      <c r="F1126" s="256" t="str">
        <f t="shared" si="690"/>
        <v/>
      </c>
      <c r="G1126" s="159" t="str">
        <f t="shared" si="691"/>
        <v>rumus</v>
      </c>
      <c r="H1126" s="39" t="s">
        <v>66</v>
      </c>
      <c r="I1126" s="95"/>
      <c r="J1126" s="37" t="str">
        <f t="shared" si="692"/>
        <v>rumus</v>
      </c>
      <c r="K1126" s="89"/>
      <c r="L1126" s="89"/>
    </row>
    <row r="1127" spans="1:13" s="41" customFormat="1" ht="15" hidden="1" customHeight="1" x14ac:dyDescent="0.45">
      <c r="A1127" s="67">
        <v>12</v>
      </c>
      <c r="B1127" s="163" t="s">
        <v>98</v>
      </c>
      <c r="C1127" s="28" t="s">
        <v>252</v>
      </c>
      <c r="D1127" s="28" t="str">
        <f t="shared" si="688"/>
        <v/>
      </c>
      <c r="E1127" s="256" t="str">
        <f t="shared" si="689"/>
        <v/>
      </c>
      <c r="F1127" s="256" t="str">
        <f t="shared" si="690"/>
        <v/>
      </c>
      <c r="G1127" s="159" t="str">
        <f t="shared" si="691"/>
        <v>rumus</v>
      </c>
      <c r="H1127" s="39" t="s">
        <v>66</v>
      </c>
      <c r="I1127" s="95"/>
      <c r="J1127" s="37" t="str">
        <f t="shared" si="692"/>
        <v>rumus</v>
      </c>
      <c r="K1127" s="89"/>
      <c r="L1127" s="89"/>
    </row>
    <row r="1128" spans="1:13" s="41" customFormat="1" ht="15" customHeight="1" x14ac:dyDescent="0.45">
      <c r="A1128" s="67"/>
      <c r="B1128" s="968" t="s">
        <v>67</v>
      </c>
      <c r="C1128" s="969"/>
      <c r="D1128" s="970"/>
      <c r="E1128" s="248"/>
      <c r="F1128" s="252"/>
      <c r="G1128" s="61">
        <f>SUM(K1104:K1128)</f>
        <v>0</v>
      </c>
      <c r="H1128" s="39"/>
      <c r="I1128" s="89"/>
      <c r="J1128" s="89"/>
      <c r="K1128" s="89">
        <f>SUM(J1116:J1127)</f>
        <v>0</v>
      </c>
    </row>
    <row r="1129" spans="1:13" s="41" customFormat="1" ht="15" customHeight="1" x14ac:dyDescent="0.45">
      <c r="A1129" s="85" t="s">
        <v>129</v>
      </c>
      <c r="B1129" s="71" t="s">
        <v>130</v>
      </c>
      <c r="C1129" s="65"/>
      <c r="D1129" s="65"/>
      <c r="E1129" s="65"/>
      <c r="F1129" s="65"/>
      <c r="G1129" s="65"/>
      <c r="H1129" s="66"/>
      <c r="I1129" s="89"/>
      <c r="J1129" s="89"/>
      <c r="K1129" s="89"/>
    </row>
    <row r="1130" spans="1:13" s="41" customFormat="1" ht="15" customHeight="1" x14ac:dyDescent="0.45">
      <c r="A1130" s="67"/>
      <c r="B1130" s="262" t="s">
        <v>110</v>
      </c>
      <c r="C1130" s="57"/>
      <c r="D1130" s="57"/>
      <c r="E1130" s="57"/>
      <c r="F1130" s="57"/>
      <c r="G1130" s="57"/>
      <c r="H1130" s="124"/>
      <c r="I1130" s="89"/>
      <c r="J1130" s="89"/>
      <c r="K1130" s="89"/>
      <c r="L1130" s="89"/>
      <c r="M1130" s="89"/>
    </row>
    <row r="1131" spans="1:13" s="41" customFormat="1" ht="15" hidden="1" customHeight="1" x14ac:dyDescent="0.45">
      <c r="A1131" s="67">
        <v>1</v>
      </c>
      <c r="B1131" s="163" t="s">
        <v>98</v>
      </c>
      <c r="C1131" s="28" t="s">
        <v>141</v>
      </c>
      <c r="D1131" s="28" t="str">
        <f>IF(G1131&lt;&gt;"rumus","Sertifikat","")</f>
        <v/>
      </c>
      <c r="E1131" s="256" t="str">
        <f t="shared" ref="E1131:E1142" si="693">IF(I1131&lt;&gt;"",1,"")</f>
        <v/>
      </c>
      <c r="F1131" s="256" t="str">
        <f t="shared" ref="F1131:F1142" si="694">IF(I1131&lt;&gt;"",J1131,"")</f>
        <v/>
      </c>
      <c r="G1131" s="159" t="str">
        <f t="shared" ref="G1131:G1142" si="695">IF(J1131&lt;&gt;"rumus","1 x "&amp;J1131&amp;" = "&amp;J1131,"rumus")</f>
        <v>rumus</v>
      </c>
      <c r="H1131" s="28" t="s">
        <v>109</v>
      </c>
      <c r="I1131" s="26"/>
      <c r="J1131" s="37" t="str">
        <f>IF(I1131&lt;&gt;"",IF(I1131="Lamanya &gt; 960 jam",15,IF(I1131="Lamanya 641-960 jam",9,IF(I1131="Lamanya 481-640 jam",6,IF(I1131="Lamanya 161-480 jam",3,IF(I1131="Lamanya 81-160 jam",2,IF(I1131="Lamanya 31-80 jam",1,IF(I1131="Lamanya 10-30 jam",0.5,""))))))),"rumus")</f>
        <v>rumus</v>
      </c>
      <c r="K1131" s="89"/>
      <c r="L1131" s="89"/>
    </row>
    <row r="1132" spans="1:13" s="41" customFormat="1" ht="15" hidden="1" customHeight="1" x14ac:dyDescent="0.45">
      <c r="A1132" s="67">
        <v>2</v>
      </c>
      <c r="B1132" s="163" t="s">
        <v>98</v>
      </c>
      <c r="C1132" s="28" t="s">
        <v>142</v>
      </c>
      <c r="D1132" s="28" t="str">
        <f t="shared" ref="D1132:D1142" si="696">IF(G1132&lt;&gt;"rumus","Sertifikat","")</f>
        <v/>
      </c>
      <c r="E1132" s="256" t="str">
        <f t="shared" si="693"/>
        <v/>
      </c>
      <c r="F1132" s="256" t="str">
        <f t="shared" si="694"/>
        <v/>
      </c>
      <c r="G1132" s="159" t="str">
        <f t="shared" si="695"/>
        <v>rumus</v>
      </c>
      <c r="H1132" s="39" t="s">
        <v>66</v>
      </c>
      <c r="I1132" s="26"/>
      <c r="J1132" s="37" t="str">
        <f t="shared" ref="J1132:J1142" si="697">IF(I1132&lt;&gt;"",IF(I1132="Lamanya &gt; 960 jam",15,IF(I1132="Lamanya 641-960 jam",9,IF(I1132="Lamanya 481-640 jam",6,IF(I1132="Lamanya 161-480 jam",3,IF(I1132="Lamanya 81-160 jam",2,IF(I1132="Lamanya 31-80 jam",1,IF(I1132="Lamanya 10-30 jam",0.5,""))))))),"rumus")</f>
        <v>rumus</v>
      </c>
      <c r="K1132" s="89"/>
      <c r="L1132" s="89"/>
    </row>
    <row r="1133" spans="1:13" s="41" customFormat="1" ht="15" hidden="1" customHeight="1" x14ac:dyDescent="0.45">
      <c r="A1133" s="67">
        <v>3</v>
      </c>
      <c r="B1133" s="163" t="s">
        <v>98</v>
      </c>
      <c r="C1133" s="172" t="s">
        <v>143</v>
      </c>
      <c r="D1133" s="28" t="str">
        <f t="shared" si="696"/>
        <v/>
      </c>
      <c r="E1133" s="256" t="str">
        <f t="shared" si="693"/>
        <v/>
      </c>
      <c r="F1133" s="256" t="str">
        <f t="shared" si="694"/>
        <v/>
      </c>
      <c r="G1133" s="159" t="str">
        <f t="shared" si="695"/>
        <v>rumus</v>
      </c>
      <c r="H1133" s="39" t="s">
        <v>66</v>
      </c>
      <c r="I1133" s="26"/>
      <c r="J1133" s="37" t="str">
        <f t="shared" si="697"/>
        <v>rumus</v>
      </c>
      <c r="K1133" s="89"/>
      <c r="L1133" s="89"/>
    </row>
    <row r="1134" spans="1:13" s="41" customFormat="1" ht="15" hidden="1" customHeight="1" x14ac:dyDescent="0.45">
      <c r="A1134" s="67">
        <v>4</v>
      </c>
      <c r="B1134" s="163" t="s">
        <v>98</v>
      </c>
      <c r="C1134" s="28" t="s">
        <v>144</v>
      </c>
      <c r="D1134" s="28" t="str">
        <f t="shared" si="696"/>
        <v/>
      </c>
      <c r="E1134" s="256" t="str">
        <f t="shared" si="693"/>
        <v/>
      </c>
      <c r="F1134" s="256" t="str">
        <f t="shared" si="694"/>
        <v/>
      </c>
      <c r="G1134" s="159" t="str">
        <f t="shared" si="695"/>
        <v>rumus</v>
      </c>
      <c r="H1134" s="39" t="s">
        <v>66</v>
      </c>
      <c r="I1134" s="26"/>
      <c r="J1134" s="37" t="str">
        <f t="shared" si="697"/>
        <v>rumus</v>
      </c>
      <c r="K1134" s="89"/>
      <c r="L1134" s="89"/>
    </row>
    <row r="1135" spans="1:13" s="41" customFormat="1" ht="15" hidden="1" customHeight="1" x14ac:dyDescent="0.45">
      <c r="A1135" s="67">
        <v>5</v>
      </c>
      <c r="B1135" s="163" t="s">
        <v>98</v>
      </c>
      <c r="C1135" s="172" t="s">
        <v>145</v>
      </c>
      <c r="D1135" s="28" t="str">
        <f t="shared" si="696"/>
        <v/>
      </c>
      <c r="E1135" s="256" t="str">
        <f t="shared" si="693"/>
        <v/>
      </c>
      <c r="F1135" s="256" t="str">
        <f t="shared" si="694"/>
        <v/>
      </c>
      <c r="G1135" s="159" t="str">
        <f t="shared" si="695"/>
        <v>rumus</v>
      </c>
      <c r="H1135" s="39" t="s">
        <v>66</v>
      </c>
      <c r="I1135" s="26"/>
      <c r="J1135" s="37" t="str">
        <f t="shared" si="697"/>
        <v>rumus</v>
      </c>
      <c r="K1135" s="89"/>
      <c r="L1135" s="89"/>
    </row>
    <row r="1136" spans="1:13" s="41" customFormat="1" ht="15" hidden="1" customHeight="1" x14ac:dyDescent="0.45">
      <c r="A1136" s="67">
        <v>6</v>
      </c>
      <c r="B1136" s="163" t="s">
        <v>98</v>
      </c>
      <c r="C1136" s="172" t="s">
        <v>146</v>
      </c>
      <c r="D1136" s="28" t="str">
        <f t="shared" si="696"/>
        <v/>
      </c>
      <c r="E1136" s="256" t="str">
        <f t="shared" si="693"/>
        <v/>
      </c>
      <c r="F1136" s="256" t="str">
        <f t="shared" si="694"/>
        <v/>
      </c>
      <c r="G1136" s="159" t="str">
        <f t="shared" si="695"/>
        <v>rumus</v>
      </c>
      <c r="H1136" s="39" t="s">
        <v>66</v>
      </c>
      <c r="I1136" s="26"/>
      <c r="J1136" s="37" t="str">
        <f t="shared" si="697"/>
        <v>rumus</v>
      </c>
      <c r="K1136" s="89"/>
      <c r="L1136" s="89"/>
    </row>
    <row r="1137" spans="1:12" s="41" customFormat="1" ht="15" hidden="1" customHeight="1" x14ac:dyDescent="0.45">
      <c r="A1137" s="67">
        <v>7</v>
      </c>
      <c r="B1137" s="163" t="s">
        <v>98</v>
      </c>
      <c r="C1137" s="28" t="s">
        <v>108</v>
      </c>
      <c r="D1137" s="28" t="str">
        <f t="shared" si="696"/>
        <v/>
      </c>
      <c r="E1137" s="256" t="str">
        <f t="shared" si="693"/>
        <v/>
      </c>
      <c r="F1137" s="256" t="str">
        <f t="shared" si="694"/>
        <v/>
      </c>
      <c r="G1137" s="159" t="str">
        <f t="shared" si="695"/>
        <v>rumus</v>
      </c>
      <c r="H1137" s="39" t="s">
        <v>66</v>
      </c>
      <c r="I1137" s="26"/>
      <c r="J1137" s="37" t="str">
        <f t="shared" si="697"/>
        <v>rumus</v>
      </c>
      <c r="K1137" s="89"/>
      <c r="L1137" s="89"/>
    </row>
    <row r="1138" spans="1:12" s="41" customFormat="1" ht="15" hidden="1" customHeight="1" x14ac:dyDescent="0.45">
      <c r="A1138" s="67">
        <v>8</v>
      </c>
      <c r="B1138" s="163" t="s">
        <v>98</v>
      </c>
      <c r="C1138" s="28" t="s">
        <v>112</v>
      </c>
      <c r="D1138" s="28" t="str">
        <f t="shared" si="696"/>
        <v/>
      </c>
      <c r="E1138" s="256" t="str">
        <f t="shared" si="693"/>
        <v/>
      </c>
      <c r="F1138" s="256" t="str">
        <f t="shared" si="694"/>
        <v/>
      </c>
      <c r="G1138" s="159" t="str">
        <f t="shared" si="695"/>
        <v>rumus</v>
      </c>
      <c r="H1138" s="39" t="s">
        <v>66</v>
      </c>
      <c r="I1138" s="26"/>
      <c r="J1138" s="37" t="str">
        <f t="shared" si="697"/>
        <v>rumus</v>
      </c>
      <c r="K1138" s="89"/>
      <c r="L1138" s="89"/>
    </row>
    <row r="1139" spans="1:12" s="41" customFormat="1" ht="15" hidden="1" customHeight="1" x14ac:dyDescent="0.45">
      <c r="A1139" s="67">
        <v>9</v>
      </c>
      <c r="B1139" s="186" t="s">
        <v>98</v>
      </c>
      <c r="C1139" s="28" t="s">
        <v>113</v>
      </c>
      <c r="D1139" s="28" t="str">
        <f t="shared" si="696"/>
        <v/>
      </c>
      <c r="E1139" s="256" t="str">
        <f t="shared" si="693"/>
        <v/>
      </c>
      <c r="F1139" s="256" t="str">
        <f t="shared" si="694"/>
        <v/>
      </c>
      <c r="G1139" s="159" t="str">
        <f t="shared" si="695"/>
        <v>rumus</v>
      </c>
      <c r="H1139" s="39" t="s">
        <v>66</v>
      </c>
      <c r="I1139" s="26"/>
      <c r="J1139" s="37" t="str">
        <f t="shared" si="697"/>
        <v>rumus</v>
      </c>
      <c r="K1139" s="89"/>
      <c r="L1139" s="89"/>
    </row>
    <row r="1140" spans="1:12" s="41" customFormat="1" ht="15" hidden="1" customHeight="1" x14ac:dyDescent="0.45">
      <c r="A1140" s="67">
        <v>10</v>
      </c>
      <c r="B1140" s="186" t="s">
        <v>98</v>
      </c>
      <c r="C1140" s="28" t="s">
        <v>114</v>
      </c>
      <c r="D1140" s="28" t="str">
        <f t="shared" si="696"/>
        <v/>
      </c>
      <c r="E1140" s="256" t="str">
        <f t="shared" si="693"/>
        <v/>
      </c>
      <c r="F1140" s="256" t="str">
        <f t="shared" si="694"/>
        <v/>
      </c>
      <c r="G1140" s="159" t="str">
        <f t="shared" si="695"/>
        <v>rumus</v>
      </c>
      <c r="H1140" s="39" t="s">
        <v>66</v>
      </c>
      <c r="I1140" s="26"/>
      <c r="J1140" s="37" t="str">
        <f t="shared" si="697"/>
        <v>rumus</v>
      </c>
      <c r="K1140" s="89"/>
      <c r="L1140" s="89"/>
    </row>
    <row r="1141" spans="1:12" s="41" customFormat="1" hidden="1" x14ac:dyDescent="0.45">
      <c r="A1141" s="67">
        <v>11</v>
      </c>
      <c r="B1141" s="186" t="s">
        <v>98</v>
      </c>
      <c r="C1141" s="28" t="s">
        <v>251</v>
      </c>
      <c r="D1141" s="28" t="str">
        <f t="shared" si="696"/>
        <v/>
      </c>
      <c r="E1141" s="256" t="str">
        <f t="shared" si="693"/>
        <v/>
      </c>
      <c r="F1141" s="256" t="str">
        <f t="shared" si="694"/>
        <v/>
      </c>
      <c r="G1141" s="159" t="str">
        <f t="shared" si="695"/>
        <v>rumus</v>
      </c>
      <c r="H1141" s="39" t="s">
        <v>66</v>
      </c>
      <c r="I1141" s="26"/>
      <c r="J1141" s="37" t="str">
        <f t="shared" si="697"/>
        <v>rumus</v>
      </c>
      <c r="K1141" s="89"/>
      <c r="L1141" s="89"/>
    </row>
    <row r="1142" spans="1:12" s="41" customFormat="1" ht="15" customHeight="1" x14ac:dyDescent="0.45">
      <c r="A1142" s="67">
        <v>1</v>
      </c>
      <c r="B1142" s="823" t="s">
        <v>926</v>
      </c>
      <c r="C1142" s="28" t="s">
        <v>252</v>
      </c>
      <c r="D1142" s="28" t="str">
        <f t="shared" si="696"/>
        <v>Sertifikat</v>
      </c>
      <c r="E1142" s="256">
        <f t="shared" si="693"/>
        <v>1</v>
      </c>
      <c r="F1142" s="256">
        <f t="shared" si="694"/>
        <v>0.5</v>
      </c>
      <c r="G1142" s="159" t="str">
        <f t="shared" si="695"/>
        <v>1 x 0,5 = 0,5</v>
      </c>
      <c r="H1142" s="825" t="s">
        <v>927</v>
      </c>
      <c r="I1142" s="26" t="s">
        <v>386</v>
      </c>
      <c r="J1142" s="37">
        <f t="shared" si="697"/>
        <v>0.5</v>
      </c>
      <c r="K1142" s="89"/>
      <c r="L1142" s="89"/>
    </row>
    <row r="1143" spans="1:12" s="41" customFormat="1" ht="15" customHeight="1" x14ac:dyDescent="0.45">
      <c r="A1143" s="70"/>
      <c r="B1143" s="264" t="s">
        <v>111</v>
      </c>
      <c r="C1143" s="116"/>
      <c r="D1143" s="116"/>
      <c r="E1143" s="116"/>
      <c r="F1143" s="116"/>
      <c r="G1143" s="92"/>
      <c r="H1143" s="93"/>
      <c r="I1143" s="89"/>
      <c r="K1143" s="89">
        <f>SUM(J1131:J1142)</f>
        <v>0.5</v>
      </c>
    </row>
    <row r="1144" spans="1:12" s="41" customFormat="1" ht="30" customHeight="1" x14ac:dyDescent="0.45">
      <c r="A1144" s="67">
        <v>1</v>
      </c>
      <c r="B1144" s="823" t="s">
        <v>928</v>
      </c>
      <c r="C1144" s="820" t="s">
        <v>252</v>
      </c>
      <c r="D1144" s="28" t="str">
        <f>IF(G1144&lt;&gt;"rumus","Sertifikat","")</f>
        <v>Sertifikat</v>
      </c>
      <c r="E1144" s="256">
        <f t="shared" ref="E1144:E1155" si="698">IF(I1144&lt;&gt;"",1,"")</f>
        <v>1</v>
      </c>
      <c r="F1144" s="256">
        <f t="shared" ref="F1144:F1155" si="699">IF(I1144&lt;&gt;"",J1144,"")</f>
        <v>0.5</v>
      </c>
      <c r="G1144" s="159" t="str">
        <f t="shared" ref="G1144:G1155" si="700">IF(J1144&lt;&gt;"rumus","1 x "&amp;J1144&amp;" = "&amp;J1144,"rumus")</f>
        <v>1 x 0,5 = 0,5</v>
      </c>
      <c r="H1144" s="825" t="s">
        <v>930</v>
      </c>
      <c r="I1144" s="26" t="s">
        <v>386</v>
      </c>
      <c r="J1144" s="37">
        <f>IF(I1144&lt;&gt;"",IF(I1144="Lamanya &gt; 960 jam",15,IF(I1144="Lamanya 641-960 jam",9,IF(I1144="Lamanya 481-640 jam",6,IF(I1144="Lamanya 161-480 jam",3,IF(I1144="Lamanya 81-160 jam",2,IF(I1144="Lamanya 31-80 jam",1,IF(I1144="Lamanya 10-30 jam",0.5,""))))))),"rumus")</f>
        <v>0.5</v>
      </c>
      <c r="K1144" s="89"/>
      <c r="L1144" s="89"/>
    </row>
    <row r="1145" spans="1:12" s="41" customFormat="1" ht="30" customHeight="1" x14ac:dyDescent="0.45">
      <c r="A1145" s="67">
        <v>2</v>
      </c>
      <c r="B1145" s="823" t="s">
        <v>929</v>
      </c>
      <c r="C1145" s="820" t="s">
        <v>252</v>
      </c>
      <c r="D1145" s="28" t="str">
        <f t="shared" ref="D1145:D1155" si="701">IF(G1145&lt;&gt;"rumus","Sertifikat","")</f>
        <v>Sertifikat</v>
      </c>
      <c r="E1145" s="256">
        <f t="shared" si="698"/>
        <v>1</v>
      </c>
      <c r="F1145" s="256">
        <f t="shared" si="699"/>
        <v>1</v>
      </c>
      <c r="G1145" s="159" t="str">
        <f t="shared" si="700"/>
        <v>1 x 1 = 1</v>
      </c>
      <c r="H1145" s="820" t="s">
        <v>931</v>
      </c>
      <c r="I1145" s="26" t="s">
        <v>385</v>
      </c>
      <c r="J1145" s="37">
        <f t="shared" ref="J1145:J1155" si="702">IF(I1145&lt;&gt;"",IF(I1145="Lamanya &gt; 960 jam",15,IF(I1145="Lamanya 641-960 jam",9,IF(I1145="Lamanya 481-640 jam",6,IF(I1145="Lamanya 161-480 jam",3,IF(I1145="Lamanya 81-160 jam",2,IF(I1145="Lamanya 31-80 jam",1,IF(I1145="Lamanya 10-30 jam",0.5,""))))))),"rumus")</f>
        <v>1</v>
      </c>
      <c r="K1145" s="89"/>
      <c r="L1145" s="89"/>
    </row>
    <row r="1146" spans="1:12" s="41" customFormat="1" ht="15" hidden="1" customHeight="1" x14ac:dyDescent="0.45">
      <c r="A1146" s="67">
        <v>3</v>
      </c>
      <c r="B1146" s="163" t="s">
        <v>98</v>
      </c>
      <c r="C1146" s="172" t="s">
        <v>143</v>
      </c>
      <c r="D1146" s="28" t="str">
        <f t="shared" si="701"/>
        <v/>
      </c>
      <c r="E1146" s="256" t="str">
        <f t="shared" si="698"/>
        <v/>
      </c>
      <c r="F1146" s="256" t="str">
        <f t="shared" si="699"/>
        <v/>
      </c>
      <c r="G1146" s="159" t="str">
        <f t="shared" si="700"/>
        <v>rumus</v>
      </c>
      <c r="H1146" s="39" t="s">
        <v>66</v>
      </c>
      <c r="I1146" s="26"/>
      <c r="J1146" s="37" t="str">
        <f t="shared" si="702"/>
        <v>rumus</v>
      </c>
      <c r="K1146" s="89"/>
      <c r="L1146" s="89"/>
    </row>
    <row r="1147" spans="1:12" s="41" customFormat="1" ht="15" hidden="1" customHeight="1" x14ac:dyDescent="0.45">
      <c r="A1147" s="67">
        <v>4</v>
      </c>
      <c r="B1147" s="163" t="s">
        <v>98</v>
      </c>
      <c r="C1147" s="28" t="s">
        <v>144</v>
      </c>
      <c r="D1147" s="28" t="str">
        <f t="shared" si="701"/>
        <v/>
      </c>
      <c r="E1147" s="256" t="str">
        <f t="shared" si="698"/>
        <v/>
      </c>
      <c r="F1147" s="256" t="str">
        <f t="shared" si="699"/>
        <v/>
      </c>
      <c r="G1147" s="159" t="str">
        <f t="shared" si="700"/>
        <v>rumus</v>
      </c>
      <c r="H1147" s="39" t="s">
        <v>66</v>
      </c>
      <c r="I1147" s="26"/>
      <c r="J1147" s="37" t="str">
        <f t="shared" si="702"/>
        <v>rumus</v>
      </c>
      <c r="K1147" s="89"/>
      <c r="L1147" s="89"/>
    </row>
    <row r="1148" spans="1:12" s="41" customFormat="1" ht="15" hidden="1" customHeight="1" x14ac:dyDescent="0.45">
      <c r="A1148" s="67">
        <v>5</v>
      </c>
      <c r="B1148" s="163" t="s">
        <v>98</v>
      </c>
      <c r="C1148" s="172" t="s">
        <v>145</v>
      </c>
      <c r="D1148" s="28" t="str">
        <f t="shared" si="701"/>
        <v/>
      </c>
      <c r="E1148" s="256" t="str">
        <f t="shared" si="698"/>
        <v/>
      </c>
      <c r="F1148" s="256" t="str">
        <f t="shared" si="699"/>
        <v/>
      </c>
      <c r="G1148" s="159" t="str">
        <f t="shared" si="700"/>
        <v>rumus</v>
      </c>
      <c r="H1148" s="39" t="s">
        <v>66</v>
      </c>
      <c r="I1148" s="26"/>
      <c r="J1148" s="37" t="str">
        <f t="shared" si="702"/>
        <v>rumus</v>
      </c>
      <c r="K1148" s="89"/>
      <c r="L1148" s="89"/>
    </row>
    <row r="1149" spans="1:12" s="41" customFormat="1" ht="15" hidden="1" customHeight="1" x14ac:dyDescent="0.45">
      <c r="A1149" s="67">
        <v>6</v>
      </c>
      <c r="B1149" s="163" t="s">
        <v>98</v>
      </c>
      <c r="C1149" s="172" t="s">
        <v>146</v>
      </c>
      <c r="D1149" s="28" t="str">
        <f t="shared" si="701"/>
        <v/>
      </c>
      <c r="E1149" s="256" t="str">
        <f t="shared" si="698"/>
        <v/>
      </c>
      <c r="F1149" s="256" t="str">
        <f t="shared" si="699"/>
        <v/>
      </c>
      <c r="G1149" s="159" t="str">
        <f t="shared" si="700"/>
        <v>rumus</v>
      </c>
      <c r="H1149" s="39" t="s">
        <v>66</v>
      </c>
      <c r="I1149" s="26"/>
      <c r="J1149" s="37" t="str">
        <f t="shared" si="702"/>
        <v>rumus</v>
      </c>
      <c r="K1149" s="89"/>
      <c r="L1149" s="89"/>
    </row>
    <row r="1150" spans="1:12" s="41" customFormat="1" ht="15" hidden="1" customHeight="1" x14ac:dyDescent="0.45">
      <c r="A1150" s="67">
        <v>7</v>
      </c>
      <c r="B1150" s="163" t="s">
        <v>98</v>
      </c>
      <c r="C1150" s="28" t="s">
        <v>108</v>
      </c>
      <c r="D1150" s="28" t="str">
        <f t="shared" si="701"/>
        <v/>
      </c>
      <c r="E1150" s="256" t="str">
        <f t="shared" si="698"/>
        <v/>
      </c>
      <c r="F1150" s="256" t="str">
        <f t="shared" si="699"/>
        <v/>
      </c>
      <c r="G1150" s="159" t="str">
        <f t="shared" si="700"/>
        <v>rumus</v>
      </c>
      <c r="H1150" s="39" t="s">
        <v>66</v>
      </c>
      <c r="I1150" s="26"/>
      <c r="J1150" s="37" t="str">
        <f t="shared" si="702"/>
        <v>rumus</v>
      </c>
      <c r="K1150" s="89"/>
      <c r="L1150" s="89"/>
    </row>
    <row r="1151" spans="1:12" s="41" customFormat="1" ht="15" hidden="1" customHeight="1" x14ac:dyDescent="0.45">
      <c r="A1151" s="67">
        <v>8</v>
      </c>
      <c r="B1151" s="163" t="s">
        <v>98</v>
      </c>
      <c r="C1151" s="28" t="s">
        <v>112</v>
      </c>
      <c r="D1151" s="28" t="str">
        <f t="shared" si="701"/>
        <v/>
      </c>
      <c r="E1151" s="256" t="str">
        <f t="shared" si="698"/>
        <v/>
      </c>
      <c r="F1151" s="256" t="str">
        <f t="shared" si="699"/>
        <v/>
      </c>
      <c r="G1151" s="159" t="str">
        <f t="shared" si="700"/>
        <v>rumus</v>
      </c>
      <c r="H1151" s="39" t="s">
        <v>66</v>
      </c>
      <c r="I1151" s="26"/>
      <c r="J1151" s="37" t="str">
        <f t="shared" si="702"/>
        <v>rumus</v>
      </c>
      <c r="K1151" s="89"/>
      <c r="L1151" s="89"/>
    </row>
    <row r="1152" spans="1:12" s="41" customFormat="1" ht="15" hidden="1" customHeight="1" x14ac:dyDescent="0.45">
      <c r="A1152" s="67">
        <v>9</v>
      </c>
      <c r="B1152" s="186" t="s">
        <v>98</v>
      </c>
      <c r="C1152" s="28" t="s">
        <v>113</v>
      </c>
      <c r="D1152" s="28" t="str">
        <f t="shared" si="701"/>
        <v/>
      </c>
      <c r="E1152" s="256" t="str">
        <f t="shared" si="698"/>
        <v/>
      </c>
      <c r="F1152" s="256" t="str">
        <f t="shared" si="699"/>
        <v/>
      </c>
      <c r="G1152" s="159" t="str">
        <f t="shared" si="700"/>
        <v>rumus</v>
      </c>
      <c r="H1152" s="39" t="s">
        <v>66</v>
      </c>
      <c r="I1152" s="26"/>
      <c r="J1152" s="37" t="str">
        <f t="shared" si="702"/>
        <v>rumus</v>
      </c>
      <c r="K1152" s="89"/>
      <c r="L1152" s="89"/>
    </row>
    <row r="1153" spans="1:13" s="41" customFormat="1" ht="15" hidden="1" customHeight="1" x14ac:dyDescent="0.45">
      <c r="A1153" s="67">
        <v>10</v>
      </c>
      <c r="B1153" s="186" t="s">
        <v>98</v>
      </c>
      <c r="C1153" s="28" t="s">
        <v>114</v>
      </c>
      <c r="D1153" s="28" t="str">
        <f t="shared" si="701"/>
        <v/>
      </c>
      <c r="E1153" s="256" t="str">
        <f t="shared" si="698"/>
        <v/>
      </c>
      <c r="F1153" s="256" t="str">
        <f t="shared" si="699"/>
        <v/>
      </c>
      <c r="G1153" s="159" t="str">
        <f t="shared" si="700"/>
        <v>rumus</v>
      </c>
      <c r="H1153" s="39" t="s">
        <v>66</v>
      </c>
      <c r="I1153" s="26"/>
      <c r="J1153" s="37" t="str">
        <f t="shared" si="702"/>
        <v>rumus</v>
      </c>
      <c r="K1153" s="89"/>
      <c r="L1153" s="89"/>
    </row>
    <row r="1154" spans="1:13" s="41" customFormat="1" ht="15" hidden="1" customHeight="1" x14ac:dyDescent="0.45">
      <c r="A1154" s="67">
        <v>11</v>
      </c>
      <c r="B1154" s="186" t="s">
        <v>98</v>
      </c>
      <c r="C1154" s="28" t="s">
        <v>251</v>
      </c>
      <c r="D1154" s="28" t="str">
        <f t="shared" si="701"/>
        <v/>
      </c>
      <c r="E1154" s="256" t="str">
        <f t="shared" si="698"/>
        <v/>
      </c>
      <c r="F1154" s="256" t="str">
        <f t="shared" si="699"/>
        <v/>
      </c>
      <c r="G1154" s="159" t="str">
        <f t="shared" si="700"/>
        <v>rumus</v>
      </c>
      <c r="H1154" s="39" t="s">
        <v>66</v>
      </c>
      <c r="I1154" s="26"/>
      <c r="J1154" s="37" t="str">
        <f t="shared" si="702"/>
        <v>rumus</v>
      </c>
      <c r="K1154" s="89"/>
      <c r="L1154" s="89"/>
    </row>
    <row r="1155" spans="1:13" s="41" customFormat="1" ht="14.55" hidden="1" customHeight="1" x14ac:dyDescent="0.45">
      <c r="A1155" s="67">
        <v>12</v>
      </c>
      <c r="B1155" s="163" t="s">
        <v>98</v>
      </c>
      <c r="C1155" s="28" t="s">
        <v>252</v>
      </c>
      <c r="D1155" s="28" t="str">
        <f t="shared" si="701"/>
        <v/>
      </c>
      <c r="E1155" s="256" t="str">
        <f t="shared" si="698"/>
        <v/>
      </c>
      <c r="F1155" s="256" t="str">
        <f t="shared" si="699"/>
        <v/>
      </c>
      <c r="G1155" s="159" t="str">
        <f t="shared" si="700"/>
        <v>rumus</v>
      </c>
      <c r="H1155" s="39" t="s">
        <v>66</v>
      </c>
      <c r="I1155" s="26"/>
      <c r="J1155" s="37" t="str">
        <f t="shared" si="702"/>
        <v>rumus</v>
      </c>
      <c r="K1155" s="89"/>
      <c r="L1155" s="89"/>
    </row>
    <row r="1156" spans="1:13" s="41" customFormat="1" ht="15" customHeight="1" x14ac:dyDescent="0.45">
      <c r="A1156" s="70"/>
      <c r="B1156" s="968" t="s">
        <v>67</v>
      </c>
      <c r="C1156" s="969"/>
      <c r="D1156" s="970"/>
      <c r="E1156" s="248"/>
      <c r="F1156" s="252"/>
      <c r="G1156" s="61">
        <f>SUM(K1132:K1156)</f>
        <v>2</v>
      </c>
      <c r="H1156" s="39"/>
      <c r="I1156" s="89"/>
      <c r="J1156" s="89"/>
      <c r="K1156" s="89">
        <f>SUM(J1144:J1155)</f>
        <v>1.5</v>
      </c>
    </row>
    <row r="1157" spans="1:13" s="41" customFormat="1" ht="15" customHeight="1" x14ac:dyDescent="0.45">
      <c r="A1157" s="70"/>
      <c r="B1157" s="968" t="s">
        <v>157</v>
      </c>
      <c r="C1157" s="969"/>
      <c r="D1157" s="970"/>
      <c r="E1157" s="248"/>
      <c r="F1157" s="252"/>
      <c r="G1157" s="61">
        <f>G206+G234+G262+G528+G794+G868+G942+G970+G1044+G1072+G1100+G1128+G1156</f>
        <v>64</v>
      </c>
      <c r="H1157" s="39"/>
      <c r="I1157" s="89"/>
      <c r="J1157" s="89"/>
      <c r="K1157" s="89"/>
    </row>
    <row r="1158" spans="1:13" s="41" customFormat="1" ht="15" customHeight="1" x14ac:dyDescent="0.45">
      <c r="A1158" s="70"/>
      <c r="B1158" s="968" t="s">
        <v>158</v>
      </c>
      <c r="C1158" s="969"/>
      <c r="D1158" s="970"/>
      <c r="E1158" s="248"/>
      <c r="F1158" s="252"/>
      <c r="G1158" s="61">
        <f>G35+G1157</f>
        <v>64</v>
      </c>
      <c r="H1158" s="39"/>
      <c r="I1158" s="89"/>
      <c r="J1158" s="107"/>
      <c r="K1158" s="89"/>
      <c r="L1158" s="89"/>
      <c r="M1158" s="89"/>
    </row>
    <row r="1159" spans="1:13" s="2" customFormat="1" ht="15" customHeight="1" x14ac:dyDescent="0.45">
      <c r="A1159" s="984" t="s">
        <v>53</v>
      </c>
      <c r="B1159" s="984"/>
      <c r="C1159" s="984"/>
      <c r="D1159" s="984"/>
      <c r="E1159" s="984"/>
      <c r="F1159" s="984"/>
      <c r="G1159" s="984"/>
      <c r="H1159" s="984"/>
      <c r="I1159" s="984"/>
    </row>
    <row r="1160" spans="1:13" s="2" customFormat="1" x14ac:dyDescent="0.45">
      <c r="A1160" s="985"/>
      <c r="B1160" s="985"/>
      <c r="C1160" s="985"/>
      <c r="D1160" s="985"/>
      <c r="E1160" s="985"/>
      <c r="F1160" s="985"/>
      <c r="G1160" s="985"/>
      <c r="H1160" s="985"/>
      <c r="I1160" s="985"/>
    </row>
    <row r="1161" spans="1:13" s="2" customFormat="1" ht="15" customHeight="1" x14ac:dyDescent="0.45">
      <c r="G1161" s="183" t="s">
        <v>250</v>
      </c>
      <c r="H1161" s="266" t="str">
        <f ca="1">"      "&amp;TEXT(TODAY()," mmmm yyyy")</f>
        <v xml:space="preserve">       January 2019</v>
      </c>
      <c r="I1161" s="7"/>
    </row>
    <row r="1162" spans="1:13" s="2" customFormat="1" ht="15" customHeight="1" x14ac:dyDescent="0.45">
      <c r="D1162" s="265"/>
      <c r="E1162" s="265"/>
      <c r="F1162" s="265"/>
      <c r="G1162" s="988" t="str">
        <f>"Ketua Program Studi"&amp;" "&amp;'LAMPIRAN I DONE'!F22</f>
        <v>Ketua Program Studi D3 Teknik Komputer Fakultas Ilmu Terapan</v>
      </c>
      <c r="H1162" s="988"/>
    </row>
    <row r="1163" spans="1:13" x14ac:dyDescent="0.45">
      <c r="D1163" s="18"/>
      <c r="E1163" s="18"/>
      <c r="F1163" s="18"/>
      <c r="G1163" s="988"/>
      <c r="H1163" s="988"/>
    </row>
    <row r="1164" spans="1:13" ht="15" customHeight="1" x14ac:dyDescent="0.45">
      <c r="C1164" s="10"/>
      <c r="D1164" s="10"/>
      <c r="E1164" s="11"/>
      <c r="F1164" s="11"/>
      <c r="G1164" s="10"/>
      <c r="H1164" s="10"/>
    </row>
    <row r="1168" spans="1:13" x14ac:dyDescent="0.45">
      <c r="D1168" s="18"/>
      <c r="E1168" s="18"/>
      <c r="F1168" s="18"/>
      <c r="G1168" s="987" t="str">
        <f>IF($C$11="","",$C$11)</f>
        <v>Setia Juli Irzal Ismail</v>
      </c>
      <c r="H1168" s="987"/>
    </row>
    <row r="1171" spans="1:9" s="2" customFormat="1" ht="15" customHeight="1" x14ac:dyDescent="0.45">
      <c r="A1171" s="986" t="s">
        <v>54</v>
      </c>
      <c r="B1171" s="986"/>
      <c r="C1171" s="986"/>
      <c r="D1171" s="986"/>
      <c r="E1171" s="986"/>
      <c r="F1171" s="986"/>
      <c r="G1171" s="986"/>
      <c r="H1171" s="986"/>
      <c r="I1171" s="986"/>
    </row>
    <row r="1172" spans="1:9" s="2" customFormat="1" ht="15" customHeight="1" x14ac:dyDescent="0.45">
      <c r="A1172" s="986" t="s">
        <v>55</v>
      </c>
      <c r="B1172" s="986"/>
      <c r="C1172" s="986"/>
      <c r="D1172" s="986"/>
      <c r="E1172" s="986"/>
      <c r="F1172" s="986"/>
      <c r="G1172" s="986"/>
      <c r="H1172" s="986"/>
      <c r="I1172" s="986"/>
    </row>
    <row r="1173" spans="1:9" s="2" customFormat="1" ht="15" customHeight="1" x14ac:dyDescent="0.45">
      <c r="A1173" s="986" t="s">
        <v>59</v>
      </c>
      <c r="B1173" s="986"/>
      <c r="C1173" s="986"/>
      <c r="D1173" s="986"/>
      <c r="E1173" s="986"/>
      <c r="F1173" s="986"/>
      <c r="G1173" s="986"/>
      <c r="H1173" s="986"/>
      <c r="I1173" s="986"/>
    </row>
    <row r="1174" spans="1:9" s="2" customFormat="1" ht="15" customHeight="1" x14ac:dyDescent="0.45">
      <c r="A1174" s="983" t="s">
        <v>56</v>
      </c>
      <c r="B1174" s="983"/>
      <c r="C1174" s="983"/>
      <c r="D1174" s="983"/>
      <c r="E1174" s="983"/>
      <c r="F1174" s="983"/>
      <c r="G1174" s="983"/>
      <c r="H1174" s="983"/>
      <c r="I1174" s="983"/>
    </row>
  </sheetData>
  <mergeCells count="46">
    <mergeCell ref="J23:K23"/>
    <mergeCell ref="A8:H8"/>
    <mergeCell ref="A9:H9"/>
    <mergeCell ref="G6:H6"/>
    <mergeCell ref="A22:H22"/>
    <mergeCell ref="A16:H16"/>
    <mergeCell ref="A10:H10"/>
    <mergeCell ref="C17:H17"/>
    <mergeCell ref="C18:H18"/>
    <mergeCell ref="C19:H19"/>
    <mergeCell ref="C20:H20"/>
    <mergeCell ref="C21:H21"/>
    <mergeCell ref="C13:H13"/>
    <mergeCell ref="C14:H14"/>
    <mergeCell ref="C11:H11"/>
    <mergeCell ref="C12:H12"/>
    <mergeCell ref="C15:H15"/>
    <mergeCell ref="A1174:I1174"/>
    <mergeCell ref="A1159:I1159"/>
    <mergeCell ref="A1160:I1160"/>
    <mergeCell ref="A1171:I1171"/>
    <mergeCell ref="A1172:I1172"/>
    <mergeCell ref="A1173:I1173"/>
    <mergeCell ref="G1168:H1168"/>
    <mergeCell ref="G1162:H1163"/>
    <mergeCell ref="B1158:D1158"/>
    <mergeCell ref="B1157:D1157"/>
    <mergeCell ref="B1156:D1156"/>
    <mergeCell ref="B970:D970"/>
    <mergeCell ref="B1072:D1072"/>
    <mergeCell ref="B1044:D1044"/>
    <mergeCell ref="B1128:D1128"/>
    <mergeCell ref="B1100:D1100"/>
    <mergeCell ref="B26:H26"/>
    <mergeCell ref="B31:H31"/>
    <mergeCell ref="B30:D30"/>
    <mergeCell ref="B35:D35"/>
    <mergeCell ref="B37:H37"/>
    <mergeCell ref="B34:D34"/>
    <mergeCell ref="B206:D206"/>
    <mergeCell ref="B794:D794"/>
    <mergeCell ref="B942:D942"/>
    <mergeCell ref="B868:D868"/>
    <mergeCell ref="B528:D528"/>
    <mergeCell ref="B234:D234"/>
    <mergeCell ref="B262:D262"/>
  </mergeCells>
  <conditionalFormatting sqref="G207 G28:G30 G209 G80 G265:G274 G32:G33 G87 G101 G39:G44">
    <cfRule type="expression" dxfId="734" priority="1204">
      <formula>G28="rumus"</formula>
    </cfRule>
  </conditionalFormatting>
  <conditionalFormatting sqref="B67:B72 B39:B44 B46:B50 B53:B58 B81:B86 B88:B93 B95:B100 B102:B107 B144:B149 B130:B135 B137:B142 B158:B163 B183:B184 B74:B79 B123:B128 B61:B65 B151:B152 B154:B156 B169 B189:B191">
    <cfRule type="expression" dxfId="733" priority="1139">
      <formula>B39="nama mk, sks, kls"</formula>
    </cfRule>
  </conditionalFormatting>
  <conditionalFormatting sqref="B958:B967 B945:B956">
    <cfRule type="expression" dxfId="732" priority="1094">
      <formula>B945="buku ajar/diktat/modul"</formula>
    </cfRule>
  </conditionalFormatting>
  <conditionalFormatting sqref="B1047:B1058 B1060:B1071">
    <cfRule type="expression" dxfId="731" priority="1085">
      <formula>B1047="posisi"</formula>
    </cfRule>
  </conditionalFormatting>
  <conditionalFormatting sqref="G171 G185">
    <cfRule type="expression" dxfId="730" priority="952">
      <formula>G171="rumus"</formula>
    </cfRule>
  </conditionalFormatting>
  <conditionalFormatting sqref="B274">
    <cfRule type="expression" dxfId="729" priority="834">
      <formula>B274="nama mhs (nim)"</formula>
    </cfRule>
  </conditionalFormatting>
  <conditionalFormatting sqref="B1103:B1114 B1116:B1127 B1131:B1141 B1146:B1155">
    <cfRule type="expression" dxfId="728" priority="727">
      <formula>B1103="Kegiatan"</formula>
    </cfRule>
  </conditionalFormatting>
  <conditionalFormatting sqref="B265:B273">
    <cfRule type="expression" dxfId="727" priority="705">
      <formula>B265="nama mhs (nim)"</formula>
    </cfRule>
  </conditionalFormatting>
  <conditionalFormatting sqref="B797">
    <cfRule type="expression" dxfId="726" priority="639">
      <formula>B797="Membina kegiatan mahasiswa"</formula>
    </cfRule>
  </conditionalFormatting>
  <conditionalFormatting sqref="G27:G29">
    <cfRule type="expression" dxfId="725" priority="622">
      <formula>G27="rumus"</formula>
    </cfRule>
  </conditionalFormatting>
  <conditionalFormatting sqref="C17:C18 C20:C21">
    <cfRule type="expression" dxfId="724" priority="609">
      <formula>C17=""</formula>
    </cfRule>
  </conditionalFormatting>
  <conditionalFormatting sqref="B172:B177">
    <cfRule type="expression" dxfId="723" priority="607">
      <formula>B172="nama mk, sks, kls"</formula>
    </cfRule>
  </conditionalFormatting>
  <conditionalFormatting sqref="B51">
    <cfRule type="expression" dxfId="722" priority="606">
      <formula>B51="nama mk, sks, kls"</formula>
    </cfRule>
  </conditionalFormatting>
  <conditionalFormatting sqref="B60">
    <cfRule type="expression" dxfId="721" priority="546">
      <formula>B60="nama mk, sks, kls"</formula>
    </cfRule>
  </conditionalFormatting>
  <conditionalFormatting sqref="B153">
    <cfRule type="expression" dxfId="720" priority="542">
      <formula>B153="nama mk, sks, kls"</formula>
    </cfRule>
  </conditionalFormatting>
  <conditionalFormatting sqref="B237:B248">
    <cfRule type="expression" dxfId="719" priority="540">
      <formula>B237="Membimbing KKN/PKL/PKN"</formula>
    </cfRule>
  </conditionalFormatting>
  <conditionalFormatting sqref="C11:C13 C15">
    <cfRule type="expression" dxfId="718" priority="525">
      <formula>C11=""</formula>
    </cfRule>
  </conditionalFormatting>
  <conditionalFormatting sqref="B109:B114">
    <cfRule type="expression" dxfId="717" priority="519">
      <formula>B109="nama mk, sks, kls"</formula>
    </cfRule>
  </conditionalFormatting>
  <conditionalFormatting sqref="B165:B167">
    <cfRule type="expression" dxfId="716" priority="505">
      <formula>B165="nama mk, sks, kls"</formula>
    </cfRule>
  </conditionalFormatting>
  <conditionalFormatting sqref="B168">
    <cfRule type="expression" dxfId="715" priority="507">
      <formula>B168="nama mk, sks, kls"</formula>
    </cfRule>
  </conditionalFormatting>
  <conditionalFormatting sqref="G115">
    <cfRule type="expression" dxfId="714" priority="516">
      <formula>G115="rumus"</formula>
    </cfRule>
  </conditionalFormatting>
  <conditionalFormatting sqref="B116:B121">
    <cfRule type="expression" dxfId="713" priority="515">
      <formula>B116="nama mk, sks, kls"</formula>
    </cfRule>
  </conditionalFormatting>
  <conditionalFormatting sqref="B170">
    <cfRule type="expression" dxfId="712" priority="506">
      <formula>B170="nama mk, sks, kls"</formula>
    </cfRule>
  </conditionalFormatting>
  <conditionalFormatting sqref="B193:B198">
    <cfRule type="expression" dxfId="711" priority="504">
      <formula>B193="nama mk, sks, kls"</formula>
    </cfRule>
  </conditionalFormatting>
  <conditionalFormatting sqref="B200:B205">
    <cfRule type="expression" dxfId="710" priority="501">
      <formula>B200="nama mk, sks, kls"</formula>
    </cfRule>
  </conditionalFormatting>
  <conditionalFormatting sqref="G199">
    <cfRule type="expression" dxfId="709" priority="500">
      <formula>G199="rumus"</formula>
    </cfRule>
  </conditionalFormatting>
  <conditionalFormatting sqref="G342:G351">
    <cfRule type="expression" dxfId="708" priority="345">
      <formula>G342="rumus"</formula>
    </cfRule>
  </conditionalFormatting>
  <conditionalFormatting sqref="B276:B285">
    <cfRule type="expression" dxfId="707" priority="491">
      <formula>B276="nama mhs (nim)"</formula>
    </cfRule>
  </conditionalFormatting>
  <conditionalFormatting sqref="B287:B296">
    <cfRule type="expression" dxfId="706" priority="490">
      <formula>B287="nama mhs (nim)"</formula>
    </cfRule>
  </conditionalFormatting>
  <conditionalFormatting sqref="B298:B307">
    <cfRule type="expression" dxfId="705" priority="489">
      <formula>B298="nama mhs (nim)"</formula>
    </cfRule>
  </conditionalFormatting>
  <conditionalFormatting sqref="B309:B318">
    <cfRule type="expression" dxfId="704" priority="488">
      <formula>B309="nama mhs (nim)"</formula>
    </cfRule>
  </conditionalFormatting>
  <conditionalFormatting sqref="B320:B329">
    <cfRule type="expression" dxfId="703" priority="487">
      <formula>B320="nama mhs (nim)"</formula>
    </cfRule>
  </conditionalFormatting>
  <conditionalFormatting sqref="B331:B340">
    <cfRule type="expression" dxfId="702" priority="486">
      <formula>B331="nama mhs (nim)"</formula>
    </cfRule>
  </conditionalFormatting>
  <conditionalFormatting sqref="B342:B351">
    <cfRule type="expression" dxfId="701" priority="485">
      <formula>B342="nama mhs (nim)"</formula>
    </cfRule>
  </conditionalFormatting>
  <conditionalFormatting sqref="B353:B362">
    <cfRule type="expression" dxfId="700" priority="484">
      <formula>B353="nama mhs (nim)"</formula>
    </cfRule>
  </conditionalFormatting>
  <conditionalFormatting sqref="B364:B373">
    <cfRule type="expression" dxfId="699" priority="483">
      <formula>B364="nama mhs (nim)"</formula>
    </cfRule>
  </conditionalFormatting>
  <conditionalFormatting sqref="G543:G551">
    <cfRule type="expression" dxfId="698" priority="325">
      <formula>G543="rumus"</formula>
    </cfRule>
  </conditionalFormatting>
  <conditionalFormatting sqref="G353:G362">
    <cfRule type="expression" dxfId="697" priority="344">
      <formula>G353="rumus"</formula>
    </cfRule>
  </conditionalFormatting>
  <conditionalFormatting sqref="G364:G373">
    <cfRule type="expression" dxfId="696" priority="343">
      <formula>G364="rumus"</formula>
    </cfRule>
  </conditionalFormatting>
  <conditionalFormatting sqref="B376:B384">
    <cfRule type="expression" dxfId="695" priority="479">
      <formula>B376="nama mhs (nim)"</formula>
    </cfRule>
  </conditionalFormatting>
  <conditionalFormatting sqref="G375:G384">
    <cfRule type="expression" dxfId="694" priority="342">
      <formula>G375="rumus"</formula>
    </cfRule>
  </conditionalFormatting>
  <conditionalFormatting sqref="G386:G395">
    <cfRule type="expression" dxfId="693" priority="341">
      <formula>G386="rumus"</formula>
    </cfRule>
  </conditionalFormatting>
  <conditionalFormatting sqref="G397:G406">
    <cfRule type="expression" dxfId="692" priority="340">
      <formula>G397="rumus"</formula>
    </cfRule>
  </conditionalFormatting>
  <conditionalFormatting sqref="B386:B395">
    <cfRule type="expression" dxfId="691" priority="475">
      <formula>B386="nama mhs (nim)"</formula>
    </cfRule>
  </conditionalFormatting>
  <conditionalFormatting sqref="B397:B406">
    <cfRule type="expression" dxfId="690" priority="474">
      <formula>B397="nama mhs (nim)"</formula>
    </cfRule>
  </conditionalFormatting>
  <conditionalFormatting sqref="B408:B417">
    <cfRule type="expression" dxfId="689" priority="473">
      <formula>B408="nama mhs (nim)"</formula>
    </cfRule>
  </conditionalFormatting>
  <conditionalFormatting sqref="B419:B428">
    <cfRule type="expression" dxfId="688" priority="472">
      <formula>B419="nama mhs (nim)"</formula>
    </cfRule>
  </conditionalFormatting>
  <conditionalFormatting sqref="B430:B439">
    <cfRule type="expression" dxfId="687" priority="471">
      <formula>B430="nama mhs (nim)"</formula>
    </cfRule>
  </conditionalFormatting>
  <conditionalFormatting sqref="B441:B450">
    <cfRule type="expression" dxfId="686" priority="470">
      <formula>B441="nama mhs (nim)"</formula>
    </cfRule>
  </conditionalFormatting>
  <conditionalFormatting sqref="B452:B461">
    <cfRule type="expression" dxfId="685" priority="469">
      <formula>B452="nama mhs (nim)"</formula>
    </cfRule>
  </conditionalFormatting>
  <conditionalFormatting sqref="B463:B472">
    <cfRule type="expression" dxfId="684" priority="468">
      <formula>B463="nama mhs (nim)"</formula>
    </cfRule>
  </conditionalFormatting>
  <conditionalFormatting sqref="B474:B483">
    <cfRule type="expression" dxfId="683" priority="467">
      <formula>B474="nama mhs (nim)"</formula>
    </cfRule>
  </conditionalFormatting>
  <conditionalFormatting sqref="B485:B494">
    <cfRule type="expression" dxfId="682" priority="466">
      <formula>B485="nama mhs (nim)"</formula>
    </cfRule>
  </conditionalFormatting>
  <conditionalFormatting sqref="B505">
    <cfRule type="expression" dxfId="681" priority="465">
      <formula>B505="nama mhs (nim)"</formula>
    </cfRule>
  </conditionalFormatting>
  <conditionalFormatting sqref="G408:G417">
    <cfRule type="expression" dxfId="680" priority="339">
      <formula>G408="rumus"</formula>
    </cfRule>
  </conditionalFormatting>
  <conditionalFormatting sqref="B510:B516">
    <cfRule type="expression" dxfId="679" priority="463">
      <formula>B510="nama mhs (nim)"</formula>
    </cfRule>
  </conditionalFormatting>
  <conditionalFormatting sqref="G419:G428">
    <cfRule type="expression" dxfId="678" priority="338">
      <formula>G419="rumus"</formula>
    </cfRule>
  </conditionalFormatting>
  <conditionalFormatting sqref="B518:B527">
    <cfRule type="expression" dxfId="677" priority="461">
      <formula>B518="nama mhs (nim)"</formula>
    </cfRule>
  </conditionalFormatting>
  <conditionalFormatting sqref="B531:B540">
    <cfRule type="expression" dxfId="676" priority="460">
      <formula>B531="nama mhs (nim)"</formula>
    </cfRule>
  </conditionalFormatting>
  <conditionalFormatting sqref="B542:B551">
    <cfRule type="expression" dxfId="675" priority="459">
      <formula>B542="nama mhs (nim)"</formula>
    </cfRule>
  </conditionalFormatting>
  <conditionalFormatting sqref="B553:B562">
    <cfRule type="expression" dxfId="674" priority="458">
      <formula>B553="nama mhs (nim)"</formula>
    </cfRule>
  </conditionalFormatting>
  <conditionalFormatting sqref="B564:B573">
    <cfRule type="expression" dxfId="673" priority="457">
      <formula>B564="nama mhs (nim)"</formula>
    </cfRule>
  </conditionalFormatting>
  <conditionalFormatting sqref="B575:B584">
    <cfRule type="expression" dxfId="672" priority="456">
      <formula>B575="nama mhs (nim)"</formula>
    </cfRule>
  </conditionalFormatting>
  <conditionalFormatting sqref="B586:B595">
    <cfRule type="expression" dxfId="671" priority="455">
      <formula>B586="nama mhs (nim)"</formula>
    </cfRule>
  </conditionalFormatting>
  <conditionalFormatting sqref="B597:B606">
    <cfRule type="expression" dxfId="670" priority="454">
      <formula>B597="nama mhs (nim)"</formula>
    </cfRule>
  </conditionalFormatting>
  <conditionalFormatting sqref="B608:B617">
    <cfRule type="expression" dxfId="669" priority="453">
      <formula>B608="nama mhs (nim)"</formula>
    </cfRule>
  </conditionalFormatting>
  <conditionalFormatting sqref="B619:B628">
    <cfRule type="expression" dxfId="668" priority="452">
      <formula>B619="nama mhs (nim)"</formula>
    </cfRule>
  </conditionalFormatting>
  <conditionalFormatting sqref="B630:B639">
    <cfRule type="expression" dxfId="667" priority="451">
      <formula>B630="nama mhs (nim)"</formula>
    </cfRule>
  </conditionalFormatting>
  <conditionalFormatting sqref="B663:B672">
    <cfRule type="expression" dxfId="666" priority="450">
      <formula>B663="nama mhs (nim)"</formula>
    </cfRule>
  </conditionalFormatting>
  <conditionalFormatting sqref="B641:B650">
    <cfRule type="expression" dxfId="665" priority="447">
      <formula>B641="nama mhs (nim)"</formula>
    </cfRule>
  </conditionalFormatting>
  <conditionalFormatting sqref="G441:G450">
    <cfRule type="expression" dxfId="664" priority="336">
      <formula>G441="rumus"</formula>
    </cfRule>
  </conditionalFormatting>
  <conditionalFormatting sqref="G452:G461">
    <cfRule type="expression" dxfId="663" priority="335">
      <formula>G452="rumus"</formula>
    </cfRule>
  </conditionalFormatting>
  <conditionalFormatting sqref="B740:B749">
    <cfRule type="expression" dxfId="662" priority="437">
      <formula>B740="nama mhs (nim)"</formula>
    </cfRule>
  </conditionalFormatting>
  <conditionalFormatting sqref="B762:B771">
    <cfRule type="expression" dxfId="661" priority="435">
      <formula>B762="nama mhs (nim)"</formula>
    </cfRule>
  </conditionalFormatting>
  <conditionalFormatting sqref="B654:B661">
    <cfRule type="expression" dxfId="660" priority="444">
      <formula>B654="nama mhs (nim)"</formula>
    </cfRule>
  </conditionalFormatting>
  <conditionalFormatting sqref="G463:G472">
    <cfRule type="expression" dxfId="659" priority="334">
      <formula>G463="rumus"</formula>
    </cfRule>
  </conditionalFormatting>
  <conditionalFormatting sqref="G474:G483">
    <cfRule type="expression" dxfId="658" priority="333">
      <formula>G474="rumus"</formula>
    </cfRule>
  </conditionalFormatting>
  <conditionalFormatting sqref="B674:B683">
    <cfRule type="expression" dxfId="657" priority="443">
      <formula>B674="nama mhs (nim)"</formula>
    </cfRule>
  </conditionalFormatting>
  <conditionalFormatting sqref="B685:B694">
    <cfRule type="expression" dxfId="656" priority="442">
      <formula>B685="nama mhs (nim)"</formula>
    </cfRule>
  </conditionalFormatting>
  <conditionalFormatting sqref="B696:B705">
    <cfRule type="expression" dxfId="655" priority="441">
      <formula>B696="nama mhs (nim)"</formula>
    </cfRule>
  </conditionalFormatting>
  <conditionalFormatting sqref="B707:B716">
    <cfRule type="expression" dxfId="654" priority="440">
      <formula>B707="nama mhs (nim)"</formula>
    </cfRule>
  </conditionalFormatting>
  <conditionalFormatting sqref="B718:B727">
    <cfRule type="expression" dxfId="653" priority="439">
      <formula>B718="nama mhs (nim)"</formula>
    </cfRule>
  </conditionalFormatting>
  <conditionalFormatting sqref="B729:B738">
    <cfRule type="expression" dxfId="652" priority="438">
      <formula>B729="nama mhs (nim)"</formula>
    </cfRule>
  </conditionalFormatting>
  <conditionalFormatting sqref="B779:B782">
    <cfRule type="expression" dxfId="651" priority="432">
      <formula>B779="nama mhs (nim)"</formula>
    </cfRule>
  </conditionalFormatting>
  <conditionalFormatting sqref="B751:B760">
    <cfRule type="expression" dxfId="650" priority="436">
      <formula>B751="nama mhs (nim)"</formula>
    </cfRule>
  </conditionalFormatting>
  <conditionalFormatting sqref="G609:G617">
    <cfRule type="expression" dxfId="649" priority="313">
      <formula>G609="rumus"</formula>
    </cfRule>
  </conditionalFormatting>
  <conditionalFormatting sqref="G485:G494">
    <cfRule type="expression" dxfId="648" priority="332">
      <formula>G485="rumus"</formula>
    </cfRule>
  </conditionalFormatting>
  <conditionalFormatting sqref="B789:B793">
    <cfRule type="expression" dxfId="647" priority="429">
      <formula>B789="nama mhs (nim)"</formula>
    </cfRule>
  </conditionalFormatting>
  <conditionalFormatting sqref="G250:G261">
    <cfRule type="expression" dxfId="646" priority="353">
      <formula>G250="rumus"</formula>
    </cfRule>
  </conditionalFormatting>
  <conditionalFormatting sqref="G237:G248">
    <cfRule type="expression" dxfId="645" priority="352">
      <formula>G237="rumus"</formula>
    </cfRule>
  </conditionalFormatting>
  <conditionalFormatting sqref="B800:B801 B803:B804 B806:B807 B809:B810 B812:B813 B815:B816 B818:B819 B821:B822 B824:B825">
    <cfRule type="expression" dxfId="644" priority="428">
      <formula>B800="Membina kegiatan mahasiswa"</formula>
    </cfRule>
  </conditionalFormatting>
  <conditionalFormatting sqref="B827:B828 B830:B831">
    <cfRule type="expression" dxfId="643" priority="426">
      <formula>B827="Membina kegiatan mahasiswa"</formula>
    </cfRule>
  </conditionalFormatting>
  <conditionalFormatting sqref="B968:B969">
    <cfRule type="expression" dxfId="642" priority="419">
      <formula>B968="buku ajar/diktat/modul"</formula>
    </cfRule>
  </conditionalFormatting>
  <conditionalFormatting sqref="C14">
    <cfRule type="expression" dxfId="641" priority="418">
      <formula>C14=""</formula>
    </cfRule>
  </conditionalFormatting>
  <conditionalFormatting sqref="G210:G220">
    <cfRule type="expression" dxfId="640" priority="414">
      <formula>G210="rumus"</formula>
    </cfRule>
  </conditionalFormatting>
  <conditionalFormatting sqref="B209">
    <cfRule type="expression" dxfId="639" priority="407">
      <formula>B209="Membimbing seminar, nama mhs (nim)"</formula>
    </cfRule>
  </conditionalFormatting>
  <conditionalFormatting sqref="B210:B220">
    <cfRule type="expression" dxfId="638" priority="406">
      <formula>B210="Membimbing seminar, nama mhs (nim)"</formula>
    </cfRule>
  </conditionalFormatting>
  <conditionalFormatting sqref="B222:B233">
    <cfRule type="expression" dxfId="637" priority="405">
      <formula>B222="Membimbing seminar, nama mhs (nim)"</formula>
    </cfRule>
  </conditionalFormatting>
  <conditionalFormatting sqref="G222:G233">
    <cfRule type="expression" dxfId="636" priority="403">
      <formula>G222="rumus"</formula>
    </cfRule>
  </conditionalFormatting>
  <conditionalFormatting sqref="G518:G527">
    <cfRule type="expression" dxfId="635" priority="329">
      <formula>G518="rumus"</formula>
    </cfRule>
  </conditionalFormatting>
  <conditionalFormatting sqref="G532:G540">
    <cfRule type="expression" dxfId="634" priority="327">
      <formula>G532="rumus"</formula>
    </cfRule>
  </conditionalFormatting>
  <conditionalFormatting sqref="G507:G516">
    <cfRule type="expression" dxfId="633" priority="330">
      <formula>G507="rumus"</formula>
    </cfRule>
  </conditionalFormatting>
  <conditionalFormatting sqref="G653:G661">
    <cfRule type="expression" dxfId="632" priority="305">
      <formula>G653="rumus"</formula>
    </cfRule>
  </conditionalFormatting>
  <conditionalFormatting sqref="G763:G771">
    <cfRule type="expression" dxfId="631" priority="285">
      <formula>G763="rumus"</formula>
    </cfRule>
  </conditionalFormatting>
  <conditionalFormatting sqref="G630">
    <cfRule type="expression" dxfId="630" priority="310">
      <formula>G630="rumus"</formula>
    </cfRule>
  </conditionalFormatting>
  <conditionalFormatting sqref="G531">
    <cfRule type="expression" dxfId="629" priority="328">
      <formula>G531="rumus"</formula>
    </cfRule>
  </conditionalFormatting>
  <conditionalFormatting sqref="G496:G505">
    <cfRule type="expression" dxfId="628" priority="331">
      <formula>G496="rumus"</formula>
    </cfRule>
  </conditionalFormatting>
  <conditionalFormatting sqref="G619">
    <cfRule type="expression" dxfId="627" priority="312">
      <formula>G619="rumus"</formula>
    </cfRule>
  </conditionalFormatting>
  <conditionalFormatting sqref="G608">
    <cfRule type="expression" dxfId="626" priority="314">
      <formula>G608="rumus"</formula>
    </cfRule>
  </conditionalFormatting>
  <conditionalFormatting sqref="G598:G606">
    <cfRule type="expression" dxfId="625" priority="315">
      <formula>G598="rumus"</formula>
    </cfRule>
  </conditionalFormatting>
  <conditionalFormatting sqref="G597">
    <cfRule type="expression" dxfId="624" priority="316">
      <formula>G597="rumus"</formula>
    </cfRule>
  </conditionalFormatting>
  <conditionalFormatting sqref="G430:G439">
    <cfRule type="expression" dxfId="623" priority="337">
      <formula>G430="rumus"</formula>
    </cfRule>
  </conditionalFormatting>
  <conditionalFormatting sqref="G586">
    <cfRule type="expression" dxfId="622" priority="318">
      <formula>G586="rumus"</formula>
    </cfRule>
  </conditionalFormatting>
  <conditionalFormatting sqref="G576:G584">
    <cfRule type="expression" dxfId="621" priority="319">
      <formula>G576="rumus"</formula>
    </cfRule>
  </conditionalFormatting>
  <conditionalFormatting sqref="G575">
    <cfRule type="expression" dxfId="620" priority="320">
      <formula>G575="rumus"</formula>
    </cfRule>
  </conditionalFormatting>
  <conditionalFormatting sqref="G565:G573">
    <cfRule type="expression" dxfId="619" priority="321">
      <formula>G565="rumus"</formula>
    </cfRule>
  </conditionalFormatting>
  <conditionalFormatting sqref="G564">
    <cfRule type="expression" dxfId="618" priority="322">
      <formula>G564="rumus"</formula>
    </cfRule>
  </conditionalFormatting>
  <conditionalFormatting sqref="G554:G562">
    <cfRule type="expression" dxfId="617" priority="323">
      <formula>G554="rumus"</formula>
    </cfRule>
  </conditionalFormatting>
  <conditionalFormatting sqref="G553">
    <cfRule type="expression" dxfId="616" priority="324">
      <formula>G553="rumus"</formula>
    </cfRule>
  </conditionalFormatting>
  <conditionalFormatting sqref="G331:G340">
    <cfRule type="expression" dxfId="615" priority="346">
      <formula>G331="rumus"</formula>
    </cfRule>
  </conditionalFormatting>
  <conditionalFormatting sqref="G320:G329">
    <cfRule type="expression" dxfId="614" priority="347">
      <formula>G320="rumus"</formula>
    </cfRule>
  </conditionalFormatting>
  <conditionalFormatting sqref="G309:G318">
    <cfRule type="expression" dxfId="613" priority="348">
      <formula>G309="rumus"</formula>
    </cfRule>
  </conditionalFormatting>
  <conditionalFormatting sqref="G298:G307">
    <cfRule type="expression" dxfId="612" priority="349">
      <formula>G298="rumus"</formula>
    </cfRule>
  </conditionalFormatting>
  <conditionalFormatting sqref="G287:G296">
    <cfRule type="expression" dxfId="611" priority="350">
      <formula>G287="rumus"</formula>
    </cfRule>
  </conditionalFormatting>
  <conditionalFormatting sqref="G276:G285">
    <cfRule type="expression" dxfId="610" priority="351">
      <formula>G276="rumus"</formula>
    </cfRule>
  </conditionalFormatting>
  <conditionalFormatting sqref="G797">
    <cfRule type="expression" dxfId="609" priority="280">
      <formula>G797="rumus"</formula>
    </cfRule>
  </conditionalFormatting>
  <conditionalFormatting sqref="G620:G628">
    <cfRule type="expression" dxfId="608" priority="311">
      <formula>G620="rumus"</formula>
    </cfRule>
  </conditionalFormatting>
  <conditionalFormatting sqref="G631:G639">
    <cfRule type="expression" dxfId="607" priority="309">
      <formula>G631="rumus"</formula>
    </cfRule>
  </conditionalFormatting>
  <conditionalFormatting sqref="G641">
    <cfRule type="expression" dxfId="606" priority="308">
      <formula>G641="rumus"</formula>
    </cfRule>
  </conditionalFormatting>
  <conditionalFormatting sqref="G642:G650">
    <cfRule type="expression" dxfId="605" priority="307">
      <formula>G642="rumus"</formula>
    </cfRule>
  </conditionalFormatting>
  <conditionalFormatting sqref="G542">
    <cfRule type="expression" dxfId="604" priority="326">
      <formula>G542="rumus"</formula>
    </cfRule>
  </conditionalFormatting>
  <conditionalFormatting sqref="G587:G595">
    <cfRule type="expression" dxfId="603" priority="317">
      <formula>G587="rumus"</formula>
    </cfRule>
  </conditionalFormatting>
  <conditionalFormatting sqref="G652">
    <cfRule type="expression" dxfId="602" priority="306">
      <formula>G652="rumus"</formula>
    </cfRule>
  </conditionalFormatting>
  <conditionalFormatting sqref="G762">
    <cfRule type="expression" dxfId="601" priority="286">
      <formula>G762="rumus"</formula>
    </cfRule>
  </conditionalFormatting>
  <conditionalFormatting sqref="G663">
    <cfRule type="expression" dxfId="600" priority="304">
      <formula>G663="rumus"</formula>
    </cfRule>
  </conditionalFormatting>
  <conditionalFormatting sqref="G664:G672">
    <cfRule type="expression" dxfId="599" priority="303">
      <formula>G664="rumus"</formula>
    </cfRule>
  </conditionalFormatting>
  <conditionalFormatting sqref="G674">
    <cfRule type="expression" dxfId="598" priority="302">
      <formula>G674="rumus"</formula>
    </cfRule>
  </conditionalFormatting>
  <conditionalFormatting sqref="G675:G683">
    <cfRule type="expression" dxfId="597" priority="301">
      <formula>G675="rumus"</formula>
    </cfRule>
  </conditionalFormatting>
  <conditionalFormatting sqref="G685">
    <cfRule type="expression" dxfId="596" priority="300">
      <formula>G685="rumus"</formula>
    </cfRule>
  </conditionalFormatting>
  <conditionalFormatting sqref="G686:G694">
    <cfRule type="expression" dxfId="595" priority="299">
      <formula>G686="rumus"</formula>
    </cfRule>
  </conditionalFormatting>
  <conditionalFormatting sqref="G696">
    <cfRule type="expression" dxfId="594" priority="298">
      <formula>G696="rumus"</formula>
    </cfRule>
  </conditionalFormatting>
  <conditionalFormatting sqref="G697:G705">
    <cfRule type="expression" dxfId="593" priority="297">
      <formula>G697="rumus"</formula>
    </cfRule>
  </conditionalFormatting>
  <conditionalFormatting sqref="G707">
    <cfRule type="expression" dxfId="592" priority="296">
      <formula>G707="rumus"</formula>
    </cfRule>
  </conditionalFormatting>
  <conditionalFormatting sqref="G708:G716">
    <cfRule type="expression" dxfId="591" priority="295">
      <formula>G708="rumus"</formula>
    </cfRule>
  </conditionalFormatting>
  <conditionalFormatting sqref="G718">
    <cfRule type="expression" dxfId="590" priority="294">
      <formula>G718="rumus"</formula>
    </cfRule>
  </conditionalFormatting>
  <conditionalFormatting sqref="G719:G727">
    <cfRule type="expression" dxfId="589" priority="293">
      <formula>G719="rumus"</formula>
    </cfRule>
  </conditionalFormatting>
  <conditionalFormatting sqref="G729">
    <cfRule type="expression" dxfId="588" priority="292">
      <formula>G729="rumus"</formula>
    </cfRule>
  </conditionalFormatting>
  <conditionalFormatting sqref="G730:G738">
    <cfRule type="expression" dxfId="587" priority="291">
      <formula>G730="rumus"</formula>
    </cfRule>
  </conditionalFormatting>
  <conditionalFormatting sqref="G740">
    <cfRule type="expression" dxfId="586" priority="290">
      <formula>G740="rumus"</formula>
    </cfRule>
  </conditionalFormatting>
  <conditionalFormatting sqref="G741:G749">
    <cfRule type="expression" dxfId="585" priority="289">
      <formula>G741="rumus"</formula>
    </cfRule>
  </conditionalFormatting>
  <conditionalFormatting sqref="G751">
    <cfRule type="expression" dxfId="584" priority="288">
      <formula>G751="rumus"</formula>
    </cfRule>
  </conditionalFormatting>
  <conditionalFormatting sqref="G752:G760">
    <cfRule type="expression" dxfId="583" priority="287">
      <formula>G752="rumus"</formula>
    </cfRule>
  </conditionalFormatting>
  <conditionalFormatting sqref="G773">
    <cfRule type="expression" dxfId="582" priority="284">
      <formula>G773="rumus"</formula>
    </cfRule>
  </conditionalFormatting>
  <conditionalFormatting sqref="G774:G782">
    <cfRule type="expression" dxfId="581" priority="283">
      <formula>G774="rumus"</formula>
    </cfRule>
  </conditionalFormatting>
  <conditionalFormatting sqref="G784">
    <cfRule type="expression" dxfId="580" priority="282">
      <formula>G784="rumus"</formula>
    </cfRule>
  </conditionalFormatting>
  <conditionalFormatting sqref="G785:G793">
    <cfRule type="expression" dxfId="579" priority="281">
      <formula>G785="rumus"</formula>
    </cfRule>
  </conditionalFormatting>
  <conditionalFormatting sqref="G798">
    <cfRule type="expression" dxfId="578" priority="278">
      <formula>G798="rumus"</formula>
    </cfRule>
  </conditionalFormatting>
  <conditionalFormatting sqref="B798">
    <cfRule type="expression" dxfId="577" priority="279">
      <formula>B798="Membina kegiatan mahasiswa"</formula>
    </cfRule>
  </conditionalFormatting>
  <conditionalFormatting sqref="G866:G867">
    <cfRule type="expression" dxfId="576" priority="236">
      <formula>G866="rumus"</formula>
    </cfRule>
  </conditionalFormatting>
  <conditionalFormatting sqref="G800">
    <cfRule type="expression" dxfId="575" priority="277">
      <formula>G800="rumus"</formula>
    </cfRule>
  </conditionalFormatting>
  <conditionalFormatting sqref="G801">
    <cfRule type="expression" dxfId="574" priority="276">
      <formula>G801="rumus"</formula>
    </cfRule>
  </conditionalFormatting>
  <conditionalFormatting sqref="G803">
    <cfRule type="expression" dxfId="573" priority="275">
      <formula>G803="rumus"</formula>
    </cfRule>
  </conditionalFormatting>
  <conditionalFormatting sqref="G804">
    <cfRule type="expression" dxfId="572" priority="274">
      <formula>G804="rumus"</formula>
    </cfRule>
  </conditionalFormatting>
  <conditionalFormatting sqref="G806">
    <cfRule type="expression" dxfId="571" priority="273">
      <formula>G806="rumus"</formula>
    </cfRule>
  </conditionalFormatting>
  <conditionalFormatting sqref="G807">
    <cfRule type="expression" dxfId="570" priority="272">
      <formula>G807="rumus"</formula>
    </cfRule>
  </conditionalFormatting>
  <conditionalFormatting sqref="G809:G810">
    <cfRule type="expression" dxfId="569" priority="271">
      <formula>G809="rumus"</formula>
    </cfRule>
  </conditionalFormatting>
  <conditionalFormatting sqref="G834">
    <cfRule type="expression" dxfId="568" priority="250">
      <formula>G834="rumus"</formula>
    </cfRule>
  </conditionalFormatting>
  <conditionalFormatting sqref="G812:G813">
    <cfRule type="expression" dxfId="567" priority="269">
      <formula>G812="rumus"</formula>
    </cfRule>
  </conditionalFormatting>
  <conditionalFormatting sqref="G837">
    <cfRule type="expression" dxfId="566" priority="248">
      <formula>G837="rumus"</formula>
    </cfRule>
  </conditionalFormatting>
  <conditionalFormatting sqref="G815:G816">
    <cfRule type="expression" dxfId="565" priority="267">
      <formula>G815="rumus"</formula>
    </cfRule>
  </conditionalFormatting>
  <conditionalFormatting sqref="G840">
    <cfRule type="expression" dxfId="564" priority="246">
      <formula>G840="rumus"</formula>
    </cfRule>
  </conditionalFormatting>
  <conditionalFormatting sqref="G818:G819">
    <cfRule type="expression" dxfId="563" priority="265">
      <formula>G818="rumus"</formula>
    </cfRule>
  </conditionalFormatting>
  <conditionalFormatting sqref="G843">
    <cfRule type="expression" dxfId="562" priority="244">
      <formula>G843="rumus"</formula>
    </cfRule>
  </conditionalFormatting>
  <conditionalFormatting sqref="G821:G822">
    <cfRule type="expression" dxfId="561" priority="263">
      <formula>G821="rumus"</formula>
    </cfRule>
  </conditionalFormatting>
  <conditionalFormatting sqref="G848:G849">
    <cfRule type="expression" dxfId="560" priority="242">
      <formula>G848="rumus"</formula>
    </cfRule>
  </conditionalFormatting>
  <conditionalFormatting sqref="G824:G825">
    <cfRule type="expression" dxfId="559" priority="261">
      <formula>G824="rumus"</formula>
    </cfRule>
  </conditionalFormatting>
  <conditionalFormatting sqref="G854:G855">
    <cfRule type="expression" dxfId="558" priority="240">
      <formula>G854="rumus"</formula>
    </cfRule>
  </conditionalFormatting>
  <conditionalFormatting sqref="G827:G828">
    <cfRule type="expression" dxfId="557" priority="259">
      <formula>G827="rumus"</formula>
    </cfRule>
  </conditionalFormatting>
  <conditionalFormatting sqref="G860:G861">
    <cfRule type="expression" dxfId="556" priority="238">
      <formula>G860="rumus"</formula>
    </cfRule>
  </conditionalFormatting>
  <conditionalFormatting sqref="G830:G831">
    <cfRule type="expression" dxfId="555" priority="257">
      <formula>G830="rumus"</formula>
    </cfRule>
  </conditionalFormatting>
  <conditionalFormatting sqref="B833">
    <cfRule type="expression" dxfId="554" priority="255">
      <formula>B833="Membina kegiatan mahasiswa"</formula>
    </cfRule>
  </conditionalFormatting>
  <conditionalFormatting sqref="B836:B837 B839:B840 B842:B843 B845:B846 B848:B849 B851:B852 B854:B855 B857:B858 B860:B861">
    <cfRule type="expression" dxfId="553" priority="254">
      <formula>B836="Membina kegiatan mahasiswa"</formula>
    </cfRule>
  </conditionalFormatting>
  <conditionalFormatting sqref="B863:B864 B866:B867">
    <cfRule type="expression" dxfId="552" priority="253">
      <formula>B863="Membina kegiatan mahasiswa"</formula>
    </cfRule>
  </conditionalFormatting>
  <conditionalFormatting sqref="G833">
    <cfRule type="expression" dxfId="551" priority="252">
      <formula>G833="rumus"</formula>
    </cfRule>
  </conditionalFormatting>
  <conditionalFormatting sqref="B834">
    <cfRule type="expression" dxfId="550" priority="251">
      <formula>B834="Membina kegiatan mahasiswa"</formula>
    </cfRule>
  </conditionalFormatting>
  <conditionalFormatting sqref="G836">
    <cfRule type="expression" dxfId="549" priority="249">
      <formula>G836="rumus"</formula>
    </cfRule>
  </conditionalFormatting>
  <conditionalFormatting sqref="G839">
    <cfRule type="expression" dxfId="548" priority="247">
      <formula>G839="rumus"</formula>
    </cfRule>
  </conditionalFormatting>
  <conditionalFormatting sqref="G842">
    <cfRule type="expression" dxfId="547" priority="245">
      <formula>G842="rumus"</formula>
    </cfRule>
  </conditionalFormatting>
  <conditionalFormatting sqref="G845:G846">
    <cfRule type="expression" dxfId="546" priority="243">
      <formula>G845="rumus"</formula>
    </cfRule>
  </conditionalFormatting>
  <conditionalFormatting sqref="G851:G852">
    <cfRule type="expression" dxfId="545" priority="241">
      <formula>G851="rumus"</formula>
    </cfRule>
  </conditionalFormatting>
  <conditionalFormatting sqref="G857:G858">
    <cfRule type="expression" dxfId="544" priority="239">
      <formula>G857="rumus"</formula>
    </cfRule>
  </conditionalFormatting>
  <conditionalFormatting sqref="G863:G864">
    <cfRule type="expression" dxfId="543" priority="237">
      <formula>G863="rumus"</formula>
    </cfRule>
  </conditionalFormatting>
  <conditionalFormatting sqref="G958:G969">
    <cfRule type="expression" dxfId="542" priority="231">
      <formula>G958="rumus"</formula>
    </cfRule>
  </conditionalFormatting>
  <conditionalFormatting sqref="G945:G956">
    <cfRule type="expression" dxfId="541" priority="232">
      <formula>G945="rumus"</formula>
    </cfRule>
  </conditionalFormatting>
  <conditionalFormatting sqref="G871">
    <cfRule type="expression" dxfId="540" priority="227">
      <formula>G871="rumus"</formula>
    </cfRule>
  </conditionalFormatting>
  <conditionalFormatting sqref="G872">
    <cfRule type="expression" dxfId="539" priority="225">
      <formula>G872="rumus"</formula>
    </cfRule>
  </conditionalFormatting>
  <conditionalFormatting sqref="G874">
    <cfRule type="expression" dxfId="538" priority="224">
      <formula>G874="rumus"</formula>
    </cfRule>
  </conditionalFormatting>
  <conditionalFormatting sqref="G875">
    <cfRule type="expression" dxfId="537" priority="223">
      <formula>G875="rumus"</formula>
    </cfRule>
  </conditionalFormatting>
  <conditionalFormatting sqref="G877">
    <cfRule type="expression" dxfId="536" priority="222">
      <formula>G877="rumus"</formula>
    </cfRule>
  </conditionalFormatting>
  <conditionalFormatting sqref="G878">
    <cfRule type="expression" dxfId="535" priority="221">
      <formula>G878="rumus"</formula>
    </cfRule>
  </conditionalFormatting>
  <conditionalFormatting sqref="G880">
    <cfRule type="expression" dxfId="534" priority="220">
      <formula>G880="rumus"</formula>
    </cfRule>
  </conditionalFormatting>
  <conditionalFormatting sqref="G881">
    <cfRule type="expression" dxfId="533" priority="219">
      <formula>G881="rumus"</formula>
    </cfRule>
  </conditionalFormatting>
  <conditionalFormatting sqref="G883:G884">
    <cfRule type="expression" dxfId="532" priority="218">
      <formula>G883="rumus"</formula>
    </cfRule>
  </conditionalFormatting>
  <conditionalFormatting sqref="G886:G887">
    <cfRule type="expression" dxfId="531" priority="217">
      <formula>G886="rumus"</formula>
    </cfRule>
  </conditionalFormatting>
  <conditionalFormatting sqref="G889:G890">
    <cfRule type="expression" dxfId="530" priority="216">
      <formula>G889="rumus"</formula>
    </cfRule>
  </conditionalFormatting>
  <conditionalFormatting sqref="G892:G893">
    <cfRule type="expression" dxfId="529" priority="215">
      <formula>G892="rumus"</formula>
    </cfRule>
  </conditionalFormatting>
  <conditionalFormatting sqref="G895:G896">
    <cfRule type="expression" dxfId="528" priority="214">
      <formula>G895="rumus"</formula>
    </cfRule>
  </conditionalFormatting>
  <conditionalFormatting sqref="G898:G899">
    <cfRule type="expression" dxfId="527" priority="213">
      <formula>G898="rumus"</formula>
    </cfRule>
  </conditionalFormatting>
  <conditionalFormatting sqref="G901:G902">
    <cfRule type="expression" dxfId="526" priority="212">
      <formula>G901="rumus"</formula>
    </cfRule>
  </conditionalFormatting>
  <conditionalFormatting sqref="G904:G905">
    <cfRule type="expression" dxfId="525" priority="211">
      <formula>G904="rumus"</formula>
    </cfRule>
  </conditionalFormatting>
  <conditionalFormatting sqref="B904:B905">
    <cfRule type="expression" dxfId="524" priority="210">
      <formula>B904="mata kuliah"</formula>
    </cfRule>
  </conditionalFormatting>
  <conditionalFormatting sqref="B901:B902">
    <cfRule type="expression" dxfId="523" priority="209">
      <formula>B901="mata kuliah"</formula>
    </cfRule>
  </conditionalFormatting>
  <conditionalFormatting sqref="B898:B899">
    <cfRule type="expression" dxfId="522" priority="208">
      <formula>B898="mata kuliah"</formula>
    </cfRule>
  </conditionalFormatting>
  <conditionalFormatting sqref="B895:B896">
    <cfRule type="expression" dxfId="521" priority="207">
      <formula>B895="mata kuliah"</formula>
    </cfRule>
  </conditionalFormatting>
  <conditionalFormatting sqref="B892:B893">
    <cfRule type="expression" dxfId="520" priority="206">
      <formula>B892="mata kuliah"</formula>
    </cfRule>
  </conditionalFormatting>
  <conditionalFormatting sqref="B889:B890">
    <cfRule type="expression" dxfId="519" priority="205">
      <formula>B889="mata kuliah"</formula>
    </cfRule>
  </conditionalFormatting>
  <conditionalFormatting sqref="B886:B887">
    <cfRule type="expression" dxfId="518" priority="204">
      <formula>B886="mata kuliah"</formula>
    </cfRule>
  </conditionalFormatting>
  <conditionalFormatting sqref="B883:B884">
    <cfRule type="expression" dxfId="517" priority="203">
      <formula>B883="mata kuliah"</formula>
    </cfRule>
  </conditionalFormatting>
  <conditionalFormatting sqref="B880:B881">
    <cfRule type="expression" dxfId="516" priority="202">
      <formula>B880="mata kuliah"</formula>
    </cfRule>
  </conditionalFormatting>
  <conditionalFormatting sqref="B877:B878">
    <cfRule type="expression" dxfId="515" priority="201">
      <formula>B877="mata kuliah"</formula>
    </cfRule>
  </conditionalFormatting>
  <conditionalFormatting sqref="B874:B875">
    <cfRule type="expression" dxfId="514" priority="200">
      <formula>B874="mata kuliah"</formula>
    </cfRule>
  </conditionalFormatting>
  <conditionalFormatting sqref="B871:B872">
    <cfRule type="expression" dxfId="513" priority="199">
      <formula>B871="mata kuliah"</formula>
    </cfRule>
  </conditionalFormatting>
  <conditionalFormatting sqref="B907:B908">
    <cfRule type="expression" dxfId="512" priority="171">
      <formula>B907="mata kuliah"</formula>
    </cfRule>
  </conditionalFormatting>
  <conditionalFormatting sqref="G907">
    <cfRule type="expression" dxfId="511" priority="198">
      <formula>G907="rumus"</formula>
    </cfRule>
  </conditionalFormatting>
  <conditionalFormatting sqref="G908">
    <cfRule type="expression" dxfId="510" priority="197">
      <formula>G908="rumus"</formula>
    </cfRule>
  </conditionalFormatting>
  <conditionalFormatting sqref="G910">
    <cfRule type="expression" dxfId="509" priority="196">
      <formula>G910="rumus"</formula>
    </cfRule>
  </conditionalFormatting>
  <conditionalFormatting sqref="G911">
    <cfRule type="expression" dxfId="508" priority="195">
      <formula>G911="rumus"</formula>
    </cfRule>
  </conditionalFormatting>
  <conditionalFormatting sqref="G913">
    <cfRule type="expression" dxfId="507" priority="194">
      <formula>G913="rumus"</formula>
    </cfRule>
  </conditionalFormatting>
  <conditionalFormatting sqref="G914">
    <cfRule type="expression" dxfId="506" priority="193">
      <formula>G914="rumus"</formula>
    </cfRule>
  </conditionalFormatting>
  <conditionalFormatting sqref="G916">
    <cfRule type="expression" dxfId="505" priority="192">
      <formula>G916="rumus"</formula>
    </cfRule>
  </conditionalFormatting>
  <conditionalFormatting sqref="G917">
    <cfRule type="expression" dxfId="504" priority="191">
      <formula>G917="rumus"</formula>
    </cfRule>
  </conditionalFormatting>
  <conditionalFormatting sqref="G919:G920">
    <cfRule type="expression" dxfId="503" priority="190">
      <formula>G919="rumus"</formula>
    </cfRule>
  </conditionalFormatting>
  <conditionalFormatting sqref="G922:G923">
    <cfRule type="expression" dxfId="502" priority="189">
      <formula>G922="rumus"</formula>
    </cfRule>
  </conditionalFormatting>
  <conditionalFormatting sqref="G925:G926">
    <cfRule type="expression" dxfId="501" priority="188">
      <formula>G925="rumus"</formula>
    </cfRule>
  </conditionalFormatting>
  <conditionalFormatting sqref="G928:G929">
    <cfRule type="expression" dxfId="500" priority="187">
      <formula>G928="rumus"</formula>
    </cfRule>
  </conditionalFormatting>
  <conditionalFormatting sqref="G931:G932">
    <cfRule type="expression" dxfId="499" priority="186">
      <formula>G931="rumus"</formula>
    </cfRule>
  </conditionalFormatting>
  <conditionalFormatting sqref="G934:G935">
    <cfRule type="expression" dxfId="498" priority="185">
      <formula>G934="rumus"</formula>
    </cfRule>
  </conditionalFormatting>
  <conditionalFormatting sqref="G937:G938">
    <cfRule type="expression" dxfId="497" priority="184">
      <formula>G937="rumus"</formula>
    </cfRule>
  </conditionalFormatting>
  <conditionalFormatting sqref="G940:G941">
    <cfRule type="expression" dxfId="496" priority="183">
      <formula>G940="rumus"</formula>
    </cfRule>
  </conditionalFormatting>
  <conditionalFormatting sqref="B940:B941">
    <cfRule type="expression" dxfId="495" priority="182">
      <formula>B940="mata kuliah"</formula>
    </cfRule>
  </conditionalFormatting>
  <conditionalFormatting sqref="B937:B938">
    <cfRule type="expression" dxfId="494" priority="181">
      <formula>B937="mata kuliah"</formula>
    </cfRule>
  </conditionalFormatting>
  <conditionalFormatting sqref="B934:B935">
    <cfRule type="expression" dxfId="493" priority="180">
      <formula>B934="mata kuliah"</formula>
    </cfRule>
  </conditionalFormatting>
  <conditionalFormatting sqref="B931:B932">
    <cfRule type="expression" dxfId="492" priority="179">
      <formula>B931="mata kuliah"</formula>
    </cfRule>
  </conditionalFormatting>
  <conditionalFormatting sqref="B928:B929">
    <cfRule type="expression" dxfId="491" priority="178">
      <formula>B928="mata kuliah"</formula>
    </cfRule>
  </conditionalFormatting>
  <conditionalFormatting sqref="B925:B926">
    <cfRule type="expression" dxfId="490" priority="177">
      <formula>B925="mata kuliah"</formula>
    </cfRule>
  </conditionalFormatting>
  <conditionalFormatting sqref="B922:B923">
    <cfRule type="expression" dxfId="489" priority="176">
      <formula>B922="mata kuliah"</formula>
    </cfRule>
  </conditionalFormatting>
  <conditionalFormatting sqref="B919:B920">
    <cfRule type="expression" dxfId="488" priority="175">
      <formula>B919="mata kuliah"</formula>
    </cfRule>
  </conditionalFormatting>
  <conditionalFormatting sqref="B916:B917">
    <cfRule type="expression" dxfId="487" priority="174">
      <formula>B916="mata kuliah"</formula>
    </cfRule>
  </conditionalFormatting>
  <conditionalFormatting sqref="B913:B914">
    <cfRule type="expression" dxfId="486" priority="173">
      <formula>B913="mata kuliah"</formula>
    </cfRule>
  </conditionalFormatting>
  <conditionalFormatting sqref="B910:B911">
    <cfRule type="expression" dxfId="485" priority="172">
      <formula>B910="mata kuliah"</formula>
    </cfRule>
  </conditionalFormatting>
  <conditionalFormatting sqref="G973">
    <cfRule type="expression" dxfId="484" priority="170">
      <formula>G973="rumus"</formula>
    </cfRule>
  </conditionalFormatting>
  <conditionalFormatting sqref="G974">
    <cfRule type="expression" dxfId="483" priority="169">
      <formula>G974="rumus"</formula>
    </cfRule>
  </conditionalFormatting>
  <conditionalFormatting sqref="G976">
    <cfRule type="expression" dxfId="482" priority="168">
      <formula>G976="rumus"</formula>
    </cfRule>
  </conditionalFormatting>
  <conditionalFormatting sqref="G977">
    <cfRule type="expression" dxfId="481" priority="167">
      <formula>G977="rumus"</formula>
    </cfRule>
  </conditionalFormatting>
  <conditionalFormatting sqref="G979">
    <cfRule type="expression" dxfId="480" priority="166">
      <formula>G979="rumus"</formula>
    </cfRule>
  </conditionalFormatting>
  <conditionalFormatting sqref="G980">
    <cfRule type="expression" dxfId="479" priority="165">
      <formula>G980="rumus"</formula>
    </cfRule>
  </conditionalFormatting>
  <conditionalFormatting sqref="G982">
    <cfRule type="expression" dxfId="478" priority="164">
      <formula>G982="rumus"</formula>
    </cfRule>
  </conditionalFormatting>
  <conditionalFormatting sqref="G983">
    <cfRule type="expression" dxfId="477" priority="163">
      <formula>G983="rumus"</formula>
    </cfRule>
  </conditionalFormatting>
  <conditionalFormatting sqref="G985:G986">
    <cfRule type="expression" dxfId="476" priority="162">
      <formula>G985="rumus"</formula>
    </cfRule>
  </conditionalFormatting>
  <conditionalFormatting sqref="G988:G989">
    <cfRule type="expression" dxfId="475" priority="161">
      <formula>G988="rumus"</formula>
    </cfRule>
  </conditionalFormatting>
  <conditionalFormatting sqref="G991:G992">
    <cfRule type="expression" dxfId="474" priority="160">
      <formula>G991="rumus"</formula>
    </cfRule>
  </conditionalFormatting>
  <conditionalFormatting sqref="G994:G995">
    <cfRule type="expression" dxfId="473" priority="159">
      <formula>G994="rumus"</formula>
    </cfRule>
  </conditionalFormatting>
  <conditionalFormatting sqref="G997:G998">
    <cfRule type="expression" dxfId="472" priority="158">
      <formula>G997="rumus"</formula>
    </cfRule>
  </conditionalFormatting>
  <conditionalFormatting sqref="G1000:G1001">
    <cfRule type="expression" dxfId="471" priority="157">
      <formula>G1000="rumus"</formula>
    </cfRule>
  </conditionalFormatting>
  <conditionalFormatting sqref="G1003:G1004">
    <cfRule type="expression" dxfId="470" priority="156">
      <formula>G1003="rumus"</formula>
    </cfRule>
  </conditionalFormatting>
  <conditionalFormatting sqref="G1006:G1007">
    <cfRule type="expression" dxfId="469" priority="155">
      <formula>G1006="rumus"</formula>
    </cfRule>
  </conditionalFormatting>
  <conditionalFormatting sqref="B1007">
    <cfRule type="expression" dxfId="468" priority="142">
      <formula>B1007="makalah / buku"</formula>
    </cfRule>
  </conditionalFormatting>
  <conditionalFormatting sqref="B1006">
    <cfRule type="expression" dxfId="467" priority="141">
      <formula>B1006="makalah / buku"</formula>
    </cfRule>
  </conditionalFormatting>
  <conditionalFormatting sqref="B973:B974">
    <cfRule type="expression" dxfId="466" priority="129">
      <formula>B973="makalah / buku"</formula>
    </cfRule>
  </conditionalFormatting>
  <conditionalFormatting sqref="B1003:B1004">
    <cfRule type="expression" dxfId="465" priority="139">
      <formula>B1003="makalah / buku"</formula>
    </cfRule>
  </conditionalFormatting>
  <conditionalFormatting sqref="B1000:B1001">
    <cfRule type="expression" dxfId="464" priority="138">
      <formula>B1000="makalah / buku"</formula>
    </cfRule>
  </conditionalFormatting>
  <conditionalFormatting sqref="B997:B998">
    <cfRule type="expression" dxfId="463" priority="137">
      <formula>B997="makalah / buku"</formula>
    </cfRule>
  </conditionalFormatting>
  <conditionalFormatting sqref="B994:B995">
    <cfRule type="expression" dxfId="462" priority="136">
      <formula>B994="makalah / buku"</formula>
    </cfRule>
  </conditionalFormatting>
  <conditionalFormatting sqref="B991:B992">
    <cfRule type="expression" dxfId="461" priority="135">
      <formula>B991="makalah / buku"</formula>
    </cfRule>
  </conditionalFormatting>
  <conditionalFormatting sqref="B988:B989">
    <cfRule type="expression" dxfId="460" priority="134">
      <formula>B988="makalah / buku"</formula>
    </cfRule>
  </conditionalFormatting>
  <conditionalFormatting sqref="B985:B986">
    <cfRule type="expression" dxfId="459" priority="133">
      <formula>B985="makalah / buku"</formula>
    </cfRule>
  </conditionalFormatting>
  <conditionalFormatting sqref="B982:B983">
    <cfRule type="expression" dxfId="458" priority="132">
      <formula>B982="makalah / buku"</formula>
    </cfRule>
  </conditionalFormatting>
  <conditionalFormatting sqref="B979:B980">
    <cfRule type="expression" dxfId="457" priority="131">
      <formula>B979="makalah / buku"</formula>
    </cfRule>
  </conditionalFormatting>
  <conditionalFormatting sqref="B976:B977">
    <cfRule type="expression" dxfId="456" priority="130">
      <formula>B976="makalah / buku"</formula>
    </cfRule>
  </conditionalFormatting>
  <conditionalFormatting sqref="B1009:B1010">
    <cfRule type="expression" dxfId="455" priority="100">
      <formula>B1009="makalah / buku"</formula>
    </cfRule>
  </conditionalFormatting>
  <conditionalFormatting sqref="G1009">
    <cfRule type="expression" dxfId="454" priority="128">
      <formula>G1009="rumus"</formula>
    </cfRule>
  </conditionalFormatting>
  <conditionalFormatting sqref="G1010">
    <cfRule type="expression" dxfId="453" priority="127">
      <formula>G1010="rumus"</formula>
    </cfRule>
  </conditionalFormatting>
  <conditionalFormatting sqref="G1012">
    <cfRule type="expression" dxfId="452" priority="126">
      <formula>G1012="rumus"</formula>
    </cfRule>
  </conditionalFormatting>
  <conditionalFormatting sqref="G1013">
    <cfRule type="expression" dxfId="451" priority="125">
      <formula>G1013="rumus"</formula>
    </cfRule>
  </conditionalFormatting>
  <conditionalFormatting sqref="G1015">
    <cfRule type="expression" dxfId="450" priority="124">
      <formula>G1015="rumus"</formula>
    </cfRule>
  </conditionalFormatting>
  <conditionalFormatting sqref="G1016">
    <cfRule type="expression" dxfId="449" priority="123">
      <formula>G1016="rumus"</formula>
    </cfRule>
  </conditionalFormatting>
  <conditionalFormatting sqref="G1018">
    <cfRule type="expression" dxfId="448" priority="122">
      <formula>G1018="rumus"</formula>
    </cfRule>
  </conditionalFormatting>
  <conditionalFormatting sqref="G1019">
    <cfRule type="expression" dxfId="447" priority="121">
      <formula>G1019="rumus"</formula>
    </cfRule>
  </conditionalFormatting>
  <conditionalFormatting sqref="G1021:G1022">
    <cfRule type="expression" dxfId="446" priority="120">
      <formula>G1021="rumus"</formula>
    </cfRule>
  </conditionalFormatting>
  <conditionalFormatting sqref="G1024:G1025">
    <cfRule type="expression" dxfId="445" priority="119">
      <formula>G1024="rumus"</formula>
    </cfRule>
  </conditionalFormatting>
  <conditionalFormatting sqref="G1027:G1028">
    <cfRule type="expression" dxfId="444" priority="118">
      <formula>G1027="rumus"</formula>
    </cfRule>
  </conditionalFormatting>
  <conditionalFormatting sqref="G1030:G1031">
    <cfRule type="expression" dxfId="443" priority="117">
      <formula>G1030="rumus"</formula>
    </cfRule>
  </conditionalFormatting>
  <conditionalFormatting sqref="G1033:G1034">
    <cfRule type="expression" dxfId="442" priority="116">
      <formula>G1033="rumus"</formula>
    </cfRule>
  </conditionalFormatting>
  <conditionalFormatting sqref="G1036:G1037">
    <cfRule type="expression" dxfId="441" priority="115">
      <formula>G1036="rumus"</formula>
    </cfRule>
  </conditionalFormatting>
  <conditionalFormatting sqref="G1039:G1040">
    <cfRule type="expression" dxfId="440" priority="114">
      <formula>G1039="rumus"</formula>
    </cfRule>
  </conditionalFormatting>
  <conditionalFormatting sqref="G1042:G1043">
    <cfRule type="expression" dxfId="439" priority="113">
      <formula>G1042="rumus"</formula>
    </cfRule>
  </conditionalFormatting>
  <conditionalFormatting sqref="B1043">
    <cfRule type="expression" dxfId="438" priority="112">
      <formula>B1043="makalah / buku"</formula>
    </cfRule>
  </conditionalFormatting>
  <conditionalFormatting sqref="B1042">
    <cfRule type="expression" dxfId="437" priority="111">
      <formula>B1042="makalah / buku"</formula>
    </cfRule>
  </conditionalFormatting>
  <conditionalFormatting sqref="B1039:B1040">
    <cfRule type="expression" dxfId="436" priority="110">
      <formula>B1039="makalah / buku"</formula>
    </cfRule>
  </conditionalFormatting>
  <conditionalFormatting sqref="B1036:B1037">
    <cfRule type="expression" dxfId="435" priority="109">
      <formula>B1036="makalah / buku"</formula>
    </cfRule>
  </conditionalFormatting>
  <conditionalFormatting sqref="B1033:B1034">
    <cfRule type="expression" dxfId="434" priority="108">
      <formula>B1033="makalah / buku"</formula>
    </cfRule>
  </conditionalFormatting>
  <conditionalFormatting sqref="B1030:B1031">
    <cfRule type="expression" dxfId="433" priority="107">
      <formula>B1030="makalah / buku"</formula>
    </cfRule>
  </conditionalFormatting>
  <conditionalFormatting sqref="B1027:B1028">
    <cfRule type="expression" dxfId="432" priority="106">
      <formula>B1027="makalah / buku"</formula>
    </cfRule>
  </conditionalFormatting>
  <conditionalFormatting sqref="B1024:B1025">
    <cfRule type="expression" dxfId="431" priority="105">
      <formula>B1024="makalah / buku"</formula>
    </cfRule>
  </conditionalFormatting>
  <conditionalFormatting sqref="B1021:B1022">
    <cfRule type="expression" dxfId="430" priority="104">
      <formula>B1021="makalah / buku"</formula>
    </cfRule>
  </conditionalFormatting>
  <conditionalFormatting sqref="B1018:B1019">
    <cfRule type="expression" dxfId="429" priority="103">
      <formula>B1018="makalah / buku"</formula>
    </cfRule>
  </conditionalFormatting>
  <conditionalFormatting sqref="B1015:B1016">
    <cfRule type="expression" dxfId="428" priority="102">
      <formula>B1015="makalah / buku"</formula>
    </cfRule>
  </conditionalFormatting>
  <conditionalFormatting sqref="B1012:B1013">
    <cfRule type="expression" dxfId="427" priority="101">
      <formula>B1012="makalah / buku"</formula>
    </cfRule>
  </conditionalFormatting>
  <conditionalFormatting sqref="G1047:G1058">
    <cfRule type="expression" dxfId="426" priority="99">
      <formula>G1047="rumus"</formula>
    </cfRule>
  </conditionalFormatting>
  <conditionalFormatting sqref="G1060:G1071">
    <cfRule type="expression" dxfId="425" priority="98">
      <formula>G1060="rumus"</formula>
    </cfRule>
  </conditionalFormatting>
  <conditionalFormatting sqref="G1075:G1086">
    <cfRule type="expression" dxfId="424" priority="97">
      <formula>G1075="rumus"</formula>
    </cfRule>
  </conditionalFormatting>
  <conditionalFormatting sqref="G1144:G1155">
    <cfRule type="expression" dxfId="423" priority="89">
      <formula>G1144="rumus"</formula>
    </cfRule>
  </conditionalFormatting>
  <conditionalFormatting sqref="G1103:G1114">
    <cfRule type="expression" dxfId="422" priority="95">
      <formula>G1103="rumus"</formula>
    </cfRule>
  </conditionalFormatting>
  <conditionalFormatting sqref="G1116:G1127">
    <cfRule type="expression" dxfId="421" priority="94">
      <formula>G1116="rumus"</formula>
    </cfRule>
  </conditionalFormatting>
  <conditionalFormatting sqref="B1088:B1099">
    <cfRule type="expression" dxfId="420" priority="93">
      <formula>B1088="Kegiatan"</formula>
    </cfRule>
  </conditionalFormatting>
  <conditionalFormatting sqref="B1075:B1086">
    <cfRule type="expression" dxfId="419" priority="92">
      <formula>B1075="Kegiatan"</formula>
    </cfRule>
  </conditionalFormatting>
  <conditionalFormatting sqref="G1088:G1099">
    <cfRule type="expression" dxfId="418" priority="91">
      <formula>G1088="rumus"</formula>
    </cfRule>
  </conditionalFormatting>
  <conditionalFormatting sqref="G1131:G1142">
    <cfRule type="expression" dxfId="417" priority="90">
      <formula>G1131="rumus"</formula>
    </cfRule>
  </conditionalFormatting>
  <conditionalFormatting sqref="G27:G29">
    <cfRule type="expression" dxfId="416" priority="88">
      <formula>G27="rumus"</formula>
    </cfRule>
  </conditionalFormatting>
  <conditionalFormatting sqref="G32:G33">
    <cfRule type="expression" dxfId="415" priority="87">
      <formula>G32="rumus"</formula>
    </cfRule>
  </conditionalFormatting>
  <conditionalFormatting sqref="G32:G33">
    <cfRule type="expression" dxfId="414" priority="86">
      <formula>G32="rumus"</formula>
    </cfRule>
  </conditionalFormatting>
  <conditionalFormatting sqref="G27:G29">
    <cfRule type="expression" dxfId="413" priority="85">
      <formula>G27="rumus"</formula>
    </cfRule>
  </conditionalFormatting>
  <conditionalFormatting sqref="G32:G33">
    <cfRule type="expression" dxfId="412" priority="84">
      <formula>G32="rumus"</formula>
    </cfRule>
  </conditionalFormatting>
  <conditionalFormatting sqref="G32:G33">
    <cfRule type="expression" dxfId="411" priority="83">
      <formula>G32="rumus"</formula>
    </cfRule>
  </conditionalFormatting>
  <conditionalFormatting sqref="G32:G33">
    <cfRule type="expression" dxfId="410" priority="82">
      <formula>G32="rumus"</formula>
    </cfRule>
  </conditionalFormatting>
  <conditionalFormatting sqref="C19">
    <cfRule type="expression" dxfId="409" priority="81">
      <formula>C19=""</formula>
    </cfRule>
  </conditionalFormatting>
  <conditionalFormatting sqref="G94">
    <cfRule type="expression" dxfId="408" priority="74">
      <formula>G94="rumus"</formula>
    </cfRule>
  </conditionalFormatting>
  <conditionalFormatting sqref="G108">
    <cfRule type="expression" dxfId="407" priority="71">
      <formula>G108="rumus"</formula>
    </cfRule>
  </conditionalFormatting>
  <conditionalFormatting sqref="G122">
    <cfRule type="expression" dxfId="406" priority="68">
      <formula>G122="rumus"</formula>
    </cfRule>
  </conditionalFormatting>
  <conditionalFormatting sqref="G136">
    <cfRule type="expression" dxfId="405" priority="65">
      <formula>G136="rumus"</formula>
    </cfRule>
  </conditionalFormatting>
  <conditionalFormatting sqref="G150">
    <cfRule type="expression" dxfId="404" priority="62">
      <formula>G150="rumus"</formula>
    </cfRule>
  </conditionalFormatting>
  <conditionalFormatting sqref="G164">
    <cfRule type="expression" dxfId="403" priority="59">
      <formula>G164="rumus"</formula>
    </cfRule>
  </conditionalFormatting>
  <conditionalFormatting sqref="G178">
    <cfRule type="expression" dxfId="402" priority="56">
      <formula>G178="rumus"</formula>
    </cfRule>
  </conditionalFormatting>
  <conditionalFormatting sqref="G192">
    <cfRule type="expression" dxfId="401" priority="53">
      <formula>G192="rumus"</formula>
    </cfRule>
  </conditionalFormatting>
  <conditionalFormatting sqref="B250:B257 B259:B261">
    <cfRule type="expression" dxfId="400" priority="47">
      <formula>B250="Membimbing KKN/PKL/PKN"</formula>
    </cfRule>
  </conditionalFormatting>
  <conditionalFormatting sqref="G46:G51">
    <cfRule type="expression" dxfId="399" priority="43">
      <formula>G46="rumus"</formula>
    </cfRule>
  </conditionalFormatting>
  <conditionalFormatting sqref="G53:G58">
    <cfRule type="expression" dxfId="398" priority="41">
      <formula>G53="rumus"</formula>
    </cfRule>
  </conditionalFormatting>
  <conditionalFormatting sqref="G60:G65">
    <cfRule type="expression" dxfId="397" priority="40">
      <formula>G60="rumus"</formula>
    </cfRule>
  </conditionalFormatting>
  <conditionalFormatting sqref="G67:G72">
    <cfRule type="expression" dxfId="396" priority="39">
      <formula>G67="rumus"</formula>
    </cfRule>
  </conditionalFormatting>
  <conditionalFormatting sqref="G74:G79">
    <cfRule type="expression" dxfId="395" priority="38">
      <formula>G74="rumus"</formula>
    </cfRule>
  </conditionalFormatting>
  <conditionalFormatting sqref="G81:G86">
    <cfRule type="expression" dxfId="394" priority="37">
      <formula>G81="rumus"</formula>
    </cfRule>
  </conditionalFormatting>
  <conditionalFormatting sqref="G88:G93">
    <cfRule type="expression" dxfId="393" priority="36">
      <formula>G88="rumus"</formula>
    </cfRule>
  </conditionalFormatting>
  <conditionalFormatting sqref="G95:G100">
    <cfRule type="expression" dxfId="392" priority="35">
      <formula>G95="rumus"</formula>
    </cfRule>
  </conditionalFormatting>
  <conditionalFormatting sqref="G102:G107">
    <cfRule type="expression" dxfId="391" priority="34">
      <formula>G102="rumus"</formula>
    </cfRule>
  </conditionalFormatting>
  <conditionalFormatting sqref="G109:G114">
    <cfRule type="expression" dxfId="390" priority="33">
      <formula>G109="rumus"</formula>
    </cfRule>
  </conditionalFormatting>
  <conditionalFormatting sqref="G116:G121">
    <cfRule type="expression" dxfId="389" priority="32">
      <formula>G116="rumus"</formula>
    </cfRule>
  </conditionalFormatting>
  <conditionalFormatting sqref="G123:G128">
    <cfRule type="expression" dxfId="388" priority="31">
      <formula>G123="rumus"</formula>
    </cfRule>
  </conditionalFormatting>
  <conditionalFormatting sqref="G130:G135">
    <cfRule type="expression" dxfId="387" priority="30">
      <formula>G130="rumus"</formula>
    </cfRule>
  </conditionalFormatting>
  <conditionalFormatting sqref="G137:G142">
    <cfRule type="expression" dxfId="386" priority="29">
      <formula>G137="rumus"</formula>
    </cfRule>
  </conditionalFormatting>
  <conditionalFormatting sqref="G144:G149">
    <cfRule type="expression" dxfId="385" priority="28">
      <formula>G144="rumus"</formula>
    </cfRule>
  </conditionalFormatting>
  <conditionalFormatting sqref="G151:G156">
    <cfRule type="expression" dxfId="384" priority="27">
      <formula>G151="rumus"</formula>
    </cfRule>
  </conditionalFormatting>
  <conditionalFormatting sqref="G158:G163">
    <cfRule type="expression" dxfId="383" priority="26">
      <formula>G158="rumus"</formula>
    </cfRule>
  </conditionalFormatting>
  <conditionalFormatting sqref="G165:G170">
    <cfRule type="expression" dxfId="382" priority="25">
      <formula>G165="rumus"</formula>
    </cfRule>
  </conditionalFormatting>
  <conditionalFormatting sqref="G172:G177">
    <cfRule type="expression" dxfId="381" priority="24">
      <formula>G172="rumus"</formula>
    </cfRule>
  </conditionalFormatting>
  <conditionalFormatting sqref="G179:G184">
    <cfRule type="expression" dxfId="380" priority="23">
      <formula>G179="rumus"</formula>
    </cfRule>
  </conditionalFormatting>
  <conditionalFormatting sqref="G186:G191">
    <cfRule type="expression" dxfId="379" priority="22">
      <formula>G186="rumus"</formula>
    </cfRule>
  </conditionalFormatting>
  <conditionalFormatting sqref="G193:G198">
    <cfRule type="expression" dxfId="378" priority="21">
      <formula>G193="rumus"</formula>
    </cfRule>
  </conditionalFormatting>
  <conditionalFormatting sqref="G200:G205">
    <cfRule type="expression" dxfId="377" priority="20">
      <formula>G200="rumus"</formula>
    </cfRule>
  </conditionalFormatting>
  <conditionalFormatting sqref="G1168:H1168">
    <cfRule type="containsBlanks" dxfId="376" priority="17">
      <formula>LEN(TRIM(G1168))=0</formula>
    </cfRule>
  </conditionalFormatting>
  <conditionalFormatting sqref="B179:B180">
    <cfRule type="expression" dxfId="375" priority="15">
      <formula>B179="nama mk, sks, kls"</formula>
    </cfRule>
  </conditionalFormatting>
  <conditionalFormatting sqref="B181:B182">
    <cfRule type="expression" dxfId="374" priority="16">
      <formula>B181="nama mk, sks, kls"</formula>
    </cfRule>
  </conditionalFormatting>
  <conditionalFormatting sqref="B186:B188">
    <cfRule type="expression" dxfId="373" priority="14">
      <formula>B186="nama mk, sks, kls"</formula>
    </cfRule>
  </conditionalFormatting>
  <conditionalFormatting sqref="B258">
    <cfRule type="expression" dxfId="372" priority="13">
      <formula>B258="Membimbing KKN/PKL/PKN"</formula>
    </cfRule>
  </conditionalFormatting>
  <conditionalFormatting sqref="B652">
    <cfRule type="expression" dxfId="371" priority="6">
      <formula>B652="nama mhs (nim)"</formula>
    </cfRule>
  </conditionalFormatting>
  <conditionalFormatting sqref="B375">
    <cfRule type="expression" dxfId="370" priority="11">
      <formula>B375="nama mhs (nim)"</formula>
    </cfRule>
  </conditionalFormatting>
  <conditionalFormatting sqref="B496:B504">
    <cfRule type="expression" dxfId="369" priority="10">
      <formula>B496="nama mhs (nim)"</formula>
    </cfRule>
  </conditionalFormatting>
  <conditionalFormatting sqref="B507 B509">
    <cfRule type="expression" dxfId="368" priority="9">
      <formula>B507="nama mhs (nim)"</formula>
    </cfRule>
  </conditionalFormatting>
  <conditionalFormatting sqref="B508">
    <cfRule type="expression" dxfId="367" priority="8">
      <formula>B508="nama mhs (nim)"</formula>
    </cfRule>
  </conditionalFormatting>
  <conditionalFormatting sqref="B653">
    <cfRule type="expression" dxfId="366" priority="7">
      <formula>B653="nama mhs (nim)"</formula>
    </cfRule>
  </conditionalFormatting>
  <conditionalFormatting sqref="B773:B778">
    <cfRule type="expression" dxfId="365" priority="5">
      <formula>B773="nama mhs (nim)"</formula>
    </cfRule>
  </conditionalFormatting>
  <conditionalFormatting sqref="B784:B788">
    <cfRule type="expression" dxfId="364" priority="4">
      <formula>B784="nama mhs (nim)"</formula>
    </cfRule>
  </conditionalFormatting>
  <conditionalFormatting sqref="B1142">
    <cfRule type="expression" dxfId="363" priority="3">
      <formula>B1142="Kegiatan"</formula>
    </cfRule>
  </conditionalFormatting>
  <conditionalFormatting sqref="B1144">
    <cfRule type="expression" dxfId="362" priority="2">
      <formula>B1144="Kegiatan"</formula>
    </cfRule>
  </conditionalFormatting>
  <conditionalFormatting sqref="B1145">
    <cfRule type="expression" dxfId="361" priority="1">
      <formula>B1145="Kegiatan"</formula>
    </cfRule>
  </conditionalFormatting>
  <dataValidations count="16">
    <dataValidation type="list" allowBlank="1" showInputMessage="1" showErrorMessage="1" prompt="pilih dengan mengklik segitiga dipojok kotak" sqref="I1006:I1007 I1003:I1004 I1000:I1001 I997:I998 I994:I995 I991:I992 I988:I989 I985:I986 I982:I983 I979:I980 I976:I977 I973:I974 I1042:I1043 I1039:I1040 I1036:I1037 I1033:I1034 I1030:I1031 I1027:I1028 I1024:I1025 I1021:I1022 I1018:I1019 I1015:I1016 I1012:I1013 I1009:I1010" xr:uid="{00000000-0002-0000-0100-000000000000}">
      <formula1>"Menyampaikan Orasi Ilmiah"</formula1>
    </dataValidation>
    <dataValidation type="list" allowBlank="1" showInputMessage="1" showErrorMessage="1" prompt="pilih dengan mengklik segitiga dipojok kotak" sqref="I762:I771 I773:I782 I652:I661 I553:I562 I542:I551 I564:I573 I575:I584 I630:I639 I597:I606 I641:I650 I531:I540 I663:I672 I674:I683 I685:I694 I696:I705 I707:I716 I586:I595 I718:I727 I729:I738 I608:I617 I619:I628 I740:I749 I751:I760 I784:I793" xr:uid="{00000000-0002-0000-0100-000001000000}">
      <formula1>"Ketua Penguji,Anggota Penguji"</formula1>
    </dataValidation>
    <dataValidation type="list" allowBlank="1" showInputMessage="1" showErrorMessage="1" prompt="pilih dengan mengklik segitiga dipojok kotak" sqref="I797:I798 I827:I828 I824:I825 I821:I822 I800:I801 I803:I804 I806:I807 I812:I813 I809:I810 I815:I816 I818:I819 I830:I831 I833:I834 I863:I864 I860:I861 I836:I837 I839:I840 I842:I843 I845:I846 I848:I849 I851:I852 I854:I855 I857:I858 I866:I867" xr:uid="{00000000-0002-0000-0100-000002000000}">
      <formula1>"Membina kegiatan mahasiswa per semester"</formula1>
    </dataValidation>
    <dataValidation type="list" allowBlank="1" showInputMessage="1" showErrorMessage="1" prompt="pilih dengan mengklik segitiga dipojok kotak" sqref="I904:I905 I901:I902 I898:I899 I895:I896 I892:I893 I889:I890 I886:I887 I883:I884 I880:I881 I877:I878 I874:I875 I871:I872 I940:I941 I937:I938 I934:I935 I931:I932 I928:I929 I925:I926 I922:I923 I919:I920 I916:I917 I913:I914 I910:I911 I907:I908" xr:uid="{00000000-0002-0000-0100-000003000000}">
      <formula1>"Mengembangkan program kuliah per semester"</formula1>
    </dataValidation>
    <dataValidation type="list" allowBlank="1" showInputMessage="1" showErrorMessage="1" prompt="pilih dengan mengklik segitiga dipojok kotak" sqref="I474:I483 I463:I472 I507:I516 I320:I329 I364:I373 I452:I461 I496:I505 I441:I450 I276:I285 I287:I296 I298:I307 I309:I318 I375:I384 I386:I395 I397:I406 I408:I417 I419:I428 I265:I274 I331:I340 I342:I351 I353:I362 I485:I494 I430:I439 I518:I527" xr:uid="{00000000-0002-0000-0100-000004000000}">
      <formula1>"Pembimbing Utama,Pembimbing Pendamping"</formula1>
    </dataValidation>
    <dataValidation type="list" allowBlank="1" showInputMessage="1" showErrorMessage="1" prompt="pilih dengan mengklik segitiga dipojok kotak" sqref="J320:J329 J463:J472 J507:J516 J474:J483 J364:J373 J331:J340 J452:J461 J430:J439 J441:J450 J276:J285 J287:J296 J298:J307 J309:J318 J375:J384 J386:J395 J397:J406 J408:J417 J419:J428 J265:J274 J342:J351 J353:J362 J485:J494 J496:J505 J518:J527" xr:uid="{00000000-0002-0000-0100-000005000000}">
      <formula1>"Disertasi,Tesis,Skripsi,Laporan akhir studi"</formula1>
    </dataValidation>
    <dataValidation type="list" allowBlank="1" showInputMessage="1" showErrorMessage="1" prompt="pilih dengan mengklik segitiga dipojok kotak" sqref="I209:I220 I222:I233" xr:uid="{00000000-0002-0000-0100-000006000000}">
      <formula1>"Membimbing seminar mahasiswa per semester"</formula1>
    </dataValidation>
    <dataValidation type="list" allowBlank="1" showInputMessage="1" showErrorMessage="1" prompt="pilih dengan mengklik segitiga dipojok kotak" sqref="I32:I33" xr:uid="{00000000-0002-0000-0100-000007000000}">
      <formula1>"Diklat Pra Jabatan setiap Sertifikat"</formula1>
    </dataValidation>
    <dataValidation type="list" allowBlank="1" showInputMessage="1" showErrorMessage="1" prompt="pilih dengan mengklik segitiga dipojok kotak" sqref="I945:I956 I958:I969" xr:uid="{00000000-0002-0000-0100-000008000000}">
      <formula1>"Buku Pertahun,Diktat/Modul Persemester"</formula1>
    </dataValidation>
    <dataValidation type="list" allowBlank="1" showInputMessage="1" showErrorMessage="1" prompt="pilih dengan mengklik segitiga dipojok kotak" sqref="I1060:I1071 I1047:I1058" xr:uid="{00000000-0002-0000-0100-000009000000}">
      <formula1>$U$1:$U$8</formula1>
    </dataValidation>
    <dataValidation type="list" allowBlank="1" showInputMessage="1" showErrorMessage="1" prompt="pilih dengan mengklik segitiga dipojok kotak" sqref="I1088:I1099 I1075:I1086" xr:uid="{00000000-0002-0000-0100-00000A000000}">
      <formula1>"a.Pembimbing pencangkokan persemester,b.Reguler persemester"</formula1>
    </dataValidation>
    <dataValidation type="list" allowBlank="1" showInputMessage="1" showErrorMessage="1" sqref="I1116:I1127 I1103:I1114" xr:uid="{00000000-0002-0000-0100-00000B000000}">
      <formula1>"a.Detasering persemester,b.Pencangkokan persemester"</formula1>
    </dataValidation>
    <dataValidation type="list" allowBlank="1" showInputMessage="1" showErrorMessage="1" prompt="pilih dengan mengklik segitiga dipojok kotak" sqref="I1131:I1142 I1144:I1155" xr:uid="{00000000-0002-0000-0100-00000C000000}">
      <formula1>"Lamanya &gt; 960 jam,Lamanya 641-960 jam,Lamanya 481-640 jam,Lamanya 161-480 jam,Lamanya 81-160 jam,Lamanya 31-80 jam,Lamanya 10-30 jam"</formula1>
    </dataValidation>
    <dataValidation type="list" allowBlank="1" showInputMessage="1" showErrorMessage="1" prompt="pilih dengan mengklik segitiga dipojok kotak" sqref="I27:I29" xr:uid="{00000000-0002-0000-0100-00000D000000}">
      <formula1>"Doktor (S3) linier,Doktor (S3) non linier,Magister (S2) linier,Magister (S2) non linier,Sarjana (S1)"</formula1>
    </dataValidation>
    <dataValidation type="list" allowBlank="1" showInputMessage="1" showErrorMessage="1" prompt="pilih dengan mengklik segitiga dipojok kotak" sqref="I237:I261" xr:uid="{00000000-0002-0000-0100-00000E000000}">
      <formula1>"Membimbing KKN/PKL/PKN/PKL per semester"</formula1>
    </dataValidation>
    <dataValidation type="list" allowBlank="1" showInputMessage="1" showErrorMessage="1" sqref="C14" xr:uid="{00000000-0002-0000-0100-00000F000000}">
      <formula1>"Tenaga Pengajar,Asisten Ahli,Lektor,Lektor Kepala,Guru Besar"</formula1>
    </dataValidation>
  </dataValidations>
  <pageMargins left="0.56000000000000005" right="0.32" top="0.46" bottom="0.75" header="0.3" footer="0.3"/>
  <pageSetup paperSize="9" scale="90" orientation="portrait" horizontalDpi="4294967293"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U202"/>
  <sheetViews>
    <sheetView showGridLines="0" topLeftCell="A14" zoomScale="55" zoomScaleNormal="55" workbookViewId="0">
      <selection activeCell="K90" sqref="K90:K91"/>
    </sheetView>
  </sheetViews>
  <sheetFormatPr defaultColWidth="9.19921875" defaultRowHeight="14.25" x14ac:dyDescent="0.45"/>
  <cols>
    <col min="1" max="1" width="4.796875" style="3" customWidth="1"/>
    <col min="2" max="2" width="10.53125" style="3" customWidth="1"/>
    <col min="3" max="3" width="42.19921875" style="3" customWidth="1"/>
    <col min="4" max="4" width="12.53125" style="3" customWidth="1"/>
    <col min="5" max="7" width="13.46484375" style="3" customWidth="1"/>
    <col min="8" max="8" width="14.46484375" style="3" customWidth="1"/>
    <col min="9" max="9" width="25.19921875" style="3" customWidth="1"/>
    <col min="10" max="10" width="11.19921875" style="3" customWidth="1"/>
    <col min="11" max="11" width="164.19921875" style="3" customWidth="1"/>
    <col min="12" max="13" width="9.19921875" style="3"/>
    <col min="14" max="14" width="12.53125" style="3" customWidth="1"/>
    <col min="15" max="15" width="4.19921875" style="3" customWidth="1"/>
    <col min="16" max="20" width="9.19921875" style="3"/>
    <col min="21" max="21" width="9.19921875" style="3" customWidth="1"/>
    <col min="22" max="16384" width="9.19921875" style="3"/>
  </cols>
  <sheetData>
    <row r="1" spans="1:21" x14ac:dyDescent="0.45">
      <c r="B1" s="18"/>
      <c r="C1" s="18"/>
      <c r="D1" s="18"/>
      <c r="E1" s="18"/>
      <c r="F1" s="18"/>
      <c r="G1" s="18"/>
      <c r="H1" s="18" t="s">
        <v>264</v>
      </c>
      <c r="I1" s="18"/>
      <c r="J1" s="46"/>
      <c r="U1" s="74" t="s">
        <v>159</v>
      </c>
    </row>
    <row r="2" spans="1:21" x14ac:dyDescent="0.45">
      <c r="B2" s="18"/>
      <c r="C2" s="18"/>
      <c r="D2" s="18"/>
      <c r="E2" s="18"/>
      <c r="F2" s="18"/>
      <c r="G2" s="18"/>
      <c r="H2" s="18" t="s">
        <v>0</v>
      </c>
      <c r="I2" s="18"/>
      <c r="J2" s="46"/>
      <c r="U2" s="74" t="s">
        <v>160</v>
      </c>
    </row>
    <row r="3" spans="1:21" x14ac:dyDescent="0.45">
      <c r="B3" s="18"/>
      <c r="C3" s="18"/>
      <c r="D3" s="18"/>
      <c r="E3" s="18"/>
      <c r="F3" s="18"/>
      <c r="G3" s="18"/>
      <c r="H3" s="18" t="s">
        <v>1</v>
      </c>
      <c r="I3" s="18"/>
      <c r="J3" s="46"/>
      <c r="U3" s="74" t="s">
        <v>169</v>
      </c>
    </row>
    <row r="4" spans="1:21" x14ac:dyDescent="0.45">
      <c r="B4" s="18"/>
      <c r="C4" s="18"/>
      <c r="D4" s="18"/>
      <c r="E4" s="18"/>
      <c r="F4" s="18"/>
      <c r="G4" s="18"/>
      <c r="H4" s="18" t="s">
        <v>260</v>
      </c>
      <c r="I4" s="18"/>
      <c r="J4" s="46"/>
      <c r="U4" s="74" t="s">
        <v>161</v>
      </c>
    </row>
    <row r="5" spans="1:21" ht="18.75" customHeight="1" x14ac:dyDescent="0.45">
      <c r="B5" s="18"/>
      <c r="C5" s="18"/>
      <c r="D5" s="18"/>
      <c r="E5" s="18"/>
      <c r="F5" s="18"/>
      <c r="G5" s="18"/>
      <c r="H5" s="18" t="s">
        <v>259</v>
      </c>
      <c r="I5" s="18"/>
      <c r="J5" s="46"/>
      <c r="U5" s="74" t="s">
        <v>162</v>
      </c>
    </row>
    <row r="6" spans="1:21" ht="234" customHeight="1" x14ac:dyDescent="0.45">
      <c r="B6" s="2"/>
      <c r="C6" s="2"/>
      <c r="D6" s="2"/>
      <c r="E6" s="2"/>
      <c r="F6" s="2"/>
      <c r="G6" s="2"/>
      <c r="H6" s="1027" t="s">
        <v>261</v>
      </c>
      <c r="I6" s="1027"/>
      <c r="J6" s="46"/>
      <c r="U6" s="74" t="s">
        <v>163</v>
      </c>
    </row>
    <row r="7" spans="1:21" x14ac:dyDescent="0.45">
      <c r="U7" s="74" t="s">
        <v>164</v>
      </c>
    </row>
    <row r="8" spans="1:21" s="7" customFormat="1" ht="15.75" customHeight="1" x14ac:dyDescent="0.45">
      <c r="A8" s="1050" t="s">
        <v>586</v>
      </c>
      <c r="B8" s="1050"/>
      <c r="C8" s="1050"/>
      <c r="D8" s="1050"/>
      <c r="E8" s="1050"/>
      <c r="F8" s="1050"/>
      <c r="G8" s="1050"/>
      <c r="H8" s="1050"/>
      <c r="I8" s="1050"/>
      <c r="J8" s="50"/>
      <c r="U8" s="74" t="s">
        <v>165</v>
      </c>
    </row>
    <row r="9" spans="1:21" s="7" customFormat="1" ht="15.75" customHeight="1" x14ac:dyDescent="0.45">
      <c r="A9" s="1050" t="s">
        <v>585</v>
      </c>
      <c r="B9" s="1050"/>
      <c r="C9" s="1050"/>
      <c r="D9" s="1050"/>
      <c r="E9" s="1050"/>
      <c r="F9" s="1050"/>
      <c r="G9" s="1050"/>
      <c r="H9" s="1050"/>
      <c r="I9" s="1050"/>
      <c r="J9" s="50"/>
      <c r="U9" s="74" t="s">
        <v>166</v>
      </c>
    </row>
    <row r="10" spans="1:21" s="7" customFormat="1" ht="15.75" customHeight="1" x14ac:dyDescent="0.45">
      <c r="A10" s="513" t="s">
        <v>584</v>
      </c>
      <c r="B10" s="514"/>
      <c r="C10" s="514"/>
      <c r="D10" s="514"/>
      <c r="E10" s="514"/>
      <c r="F10" s="514"/>
      <c r="G10" s="514"/>
      <c r="H10" s="514"/>
      <c r="I10" s="515"/>
      <c r="J10" s="511"/>
      <c r="U10" s="74"/>
    </row>
    <row r="11" spans="1:21" s="7" customFormat="1" ht="15.75" customHeight="1" x14ac:dyDescent="0.45">
      <c r="A11" s="512">
        <v>1</v>
      </c>
      <c r="B11" s="1009" t="s">
        <v>190</v>
      </c>
      <c r="C11" s="1010"/>
      <c r="D11" s="994" t="str">
        <f>IF('LAMPIRAN II DONE'!C11&lt;&gt;"",'LAMPIRAN II DONE'!C11,"")</f>
        <v>Setia Juli Irzal Ismail</v>
      </c>
      <c r="E11" s="981"/>
      <c r="F11" s="981"/>
      <c r="G11" s="981"/>
      <c r="H11" s="981"/>
      <c r="I11" s="982"/>
      <c r="J11" s="511"/>
      <c r="U11" s="74"/>
    </row>
    <row r="12" spans="1:21" s="7" customFormat="1" ht="15.75" customHeight="1" x14ac:dyDescent="0.45">
      <c r="A12" s="512">
        <v>2</v>
      </c>
      <c r="B12" s="1009" t="s">
        <v>519</v>
      </c>
      <c r="C12" s="1010"/>
      <c r="D12" s="994">
        <f>IF('LAMPIRAN II DONE'!C12&lt;&gt;"",'LAMPIRAN II DONE'!C12,"")</f>
        <v>15780038</v>
      </c>
      <c r="E12" s="981"/>
      <c r="F12" s="981"/>
      <c r="G12" s="981"/>
      <c r="H12" s="981"/>
      <c r="I12" s="982"/>
      <c r="J12" s="511"/>
      <c r="U12" s="74"/>
    </row>
    <row r="13" spans="1:21" s="7" customFormat="1" ht="15.75" customHeight="1" x14ac:dyDescent="0.45">
      <c r="A13" s="512">
        <v>3</v>
      </c>
      <c r="B13" s="1011" t="s">
        <v>39</v>
      </c>
      <c r="C13" s="1012"/>
      <c r="D13" s="994" t="str">
        <f>IF('LAMPIRAN II DONE'!C13&lt;&gt;"",'LAMPIRAN II DONE'!C13,"")</f>
        <v>-</v>
      </c>
      <c r="E13" s="981"/>
      <c r="F13" s="981"/>
      <c r="G13" s="981"/>
      <c r="H13" s="981"/>
      <c r="I13" s="982"/>
      <c r="J13" s="511"/>
      <c r="U13" s="74"/>
    </row>
    <row r="14" spans="1:21" s="7" customFormat="1" ht="15.75" customHeight="1" x14ac:dyDescent="0.45">
      <c r="A14" s="512">
        <v>4</v>
      </c>
      <c r="B14" s="1011" t="s">
        <v>38</v>
      </c>
      <c r="C14" s="1012"/>
      <c r="D14" s="994" t="str">
        <f>IF('LAMPIRAN II DONE'!C14&lt;&gt;"",'LAMPIRAN II DONE'!C14,"")</f>
        <v>Tenaga Pengajar</v>
      </c>
      <c r="E14" s="981"/>
      <c r="F14" s="981"/>
      <c r="G14" s="981"/>
      <c r="H14" s="981"/>
      <c r="I14" s="982"/>
      <c r="J14" s="511"/>
      <c r="U14" s="74"/>
    </row>
    <row r="15" spans="1:21" s="7" customFormat="1" ht="15.75" customHeight="1" x14ac:dyDescent="0.45">
      <c r="A15" s="512">
        <v>5</v>
      </c>
      <c r="B15" s="1011" t="s">
        <v>7</v>
      </c>
      <c r="C15" s="1012"/>
      <c r="D15" s="994" t="str">
        <f>IF('LAMPIRAN II DONE'!C15&lt;&gt;"",'LAMPIRAN II DONE'!C15,"")</f>
        <v>D3 Teknik Komputer Fakultas Ilmu Terapan di Universitas Telkom pada Kopertis Wilayah IV Jawa Barat dan Banten</v>
      </c>
      <c r="E15" s="981"/>
      <c r="F15" s="981"/>
      <c r="G15" s="981"/>
      <c r="H15" s="981"/>
      <c r="I15" s="982"/>
      <c r="J15" s="511"/>
      <c r="U15" s="74"/>
    </row>
    <row r="16" spans="1:21" s="7" customFormat="1" ht="15.75" customHeight="1" x14ac:dyDescent="0.45">
      <c r="A16" s="513" t="s">
        <v>61</v>
      </c>
      <c r="B16" s="514"/>
      <c r="C16" s="514"/>
      <c r="D16" s="514"/>
      <c r="E16" s="514"/>
      <c r="F16" s="514"/>
      <c r="G16" s="514"/>
      <c r="H16" s="514"/>
      <c r="I16" s="515"/>
      <c r="J16" s="511"/>
      <c r="U16" s="74"/>
    </row>
    <row r="17" spans="1:21" s="7" customFormat="1" ht="17.25" customHeight="1" x14ac:dyDescent="0.45">
      <c r="A17" s="133">
        <v>1</v>
      </c>
      <c r="B17" s="1052" t="s">
        <v>47</v>
      </c>
      <c r="C17" s="1052"/>
      <c r="D17" s="1033" t="str">
        <f>IF('LAMPIRAN I DONE'!F15&lt;&gt;"",'LAMPIRAN I DONE'!F15,"")</f>
        <v>Simon Siregar</v>
      </c>
      <c r="E17" s="1034"/>
      <c r="F17" s="1034"/>
      <c r="G17" s="1034"/>
      <c r="H17" s="1034"/>
      <c r="I17" s="1035"/>
      <c r="J17" t="s">
        <v>68</v>
      </c>
      <c r="K17"/>
      <c r="U17" s="74" t="s">
        <v>167</v>
      </c>
    </row>
    <row r="18" spans="1:21" s="7" customFormat="1" x14ac:dyDescent="0.45">
      <c r="A18" s="135">
        <v>2</v>
      </c>
      <c r="B18" s="1051" t="s">
        <v>96</v>
      </c>
      <c r="C18" s="1051"/>
      <c r="D18" s="1033" t="str">
        <f>IF('LAMPIRAN I DONE'!F16&lt;&gt;"",'LAMPIRAN I DONE'!F16,"")</f>
        <v>410038203 / 14820015</v>
      </c>
      <c r="E18" s="1034"/>
      <c r="F18" s="1034"/>
      <c r="G18" s="1034"/>
      <c r="H18" s="1034"/>
      <c r="I18" s="1035"/>
      <c r="J18" s="41"/>
      <c r="K18" s="41"/>
      <c r="U18" s="74" t="s">
        <v>168</v>
      </c>
    </row>
    <row r="19" spans="1:21" s="7" customFormat="1" ht="15" customHeight="1" x14ac:dyDescent="0.45">
      <c r="A19" s="135">
        <v>3</v>
      </c>
      <c r="B19" s="1051" t="s">
        <v>48</v>
      </c>
      <c r="C19" s="1051"/>
      <c r="D19" s="1033" t="str">
        <f>IF('LAMPIRAN I DONE'!F21&lt;&gt;"",'LAMPIRAN I DONE'!F21,"")</f>
        <v>Lektor</v>
      </c>
      <c r="E19" s="1034"/>
      <c r="F19" s="1034"/>
      <c r="G19" s="1034"/>
      <c r="H19" s="1034"/>
      <c r="I19" s="1035"/>
      <c r="J19" s="16"/>
      <c r="K19" t="s">
        <v>69</v>
      </c>
    </row>
    <row r="20" spans="1:21" s="7" customFormat="1" x14ac:dyDescent="0.45">
      <c r="A20" s="135">
        <v>4</v>
      </c>
      <c r="B20" s="1051" t="s">
        <v>49</v>
      </c>
      <c r="C20" s="1051"/>
      <c r="D20" s="1034" t="str">
        <f>IF('LAMPIRAN I DONE'!F25&lt;&gt;"",'LAMPIRAN I DONE'!F25,"")</f>
        <v>D3 Teknik Komputer Fakultas Ilmu Terapan di Universitas Telkom pada Kopertis Wilayah IV Jawa Barat dan Banten</v>
      </c>
      <c r="E20" s="1034"/>
      <c r="F20" s="1034"/>
      <c r="G20" s="1034"/>
      <c r="H20" s="1034"/>
      <c r="I20" s="1035"/>
      <c r="J20" s="17"/>
      <c r="K20" s="18" t="s">
        <v>71</v>
      </c>
    </row>
    <row r="21" spans="1:21" s="7" customFormat="1" x14ac:dyDescent="0.45">
      <c r="A21" s="9"/>
      <c r="B21" s="1056"/>
      <c r="C21" s="1056"/>
      <c r="D21" s="985"/>
      <c r="E21" s="985"/>
      <c r="F21" s="985"/>
      <c r="G21" s="985"/>
      <c r="H21" s="985"/>
      <c r="I21" s="1057"/>
      <c r="J21" s="47"/>
      <c r="K21" s="989" t="s">
        <v>623</v>
      </c>
      <c r="L21" s="989"/>
    </row>
    <row r="22" spans="1:21" s="7" customFormat="1" ht="34.5" customHeight="1" x14ac:dyDescent="0.45">
      <c r="A22" s="1041" t="s">
        <v>42</v>
      </c>
      <c r="B22" s="1044" t="s">
        <v>50</v>
      </c>
      <c r="C22" s="1045"/>
      <c r="D22" s="1028" t="s">
        <v>45</v>
      </c>
      <c r="E22" s="1028" t="s">
        <v>256</v>
      </c>
      <c r="F22" s="1028" t="s">
        <v>258</v>
      </c>
      <c r="G22" s="1028" t="s">
        <v>799</v>
      </c>
      <c r="H22" s="1028" t="s">
        <v>800</v>
      </c>
      <c r="I22" s="1028" t="s">
        <v>266</v>
      </c>
      <c r="J22" s="52"/>
      <c r="K22" s="556" t="s">
        <v>614</v>
      </c>
    </row>
    <row r="23" spans="1:21" s="7" customFormat="1" ht="15" customHeight="1" x14ac:dyDescent="0.45">
      <c r="A23" s="1042"/>
      <c r="B23" s="1046"/>
      <c r="C23" s="1047"/>
      <c r="D23" s="1031"/>
      <c r="E23" s="1029"/>
      <c r="F23" s="1029"/>
      <c r="G23" s="1029"/>
      <c r="H23" s="1029"/>
      <c r="I23" s="1029"/>
      <c r="J23" s="52"/>
    </row>
    <row r="24" spans="1:21" s="7" customFormat="1" x14ac:dyDescent="0.45">
      <c r="A24" s="1043"/>
      <c r="B24" s="1048"/>
      <c r="C24" s="1049"/>
      <c r="D24" s="1032"/>
      <c r="E24" s="1030"/>
      <c r="F24" s="1030"/>
      <c r="G24" s="1030"/>
      <c r="H24" s="1030"/>
      <c r="I24" s="1030"/>
      <c r="J24" s="52"/>
    </row>
    <row r="25" spans="1:21" s="7" customFormat="1" x14ac:dyDescent="0.45">
      <c r="A25" s="134">
        <v>1</v>
      </c>
      <c r="B25" s="1058">
        <v>2</v>
      </c>
      <c r="C25" s="1059"/>
      <c r="D25" s="128">
        <v>3</v>
      </c>
      <c r="E25" s="128">
        <v>4</v>
      </c>
      <c r="F25" s="128">
        <v>5</v>
      </c>
      <c r="G25" s="128">
        <v>6</v>
      </c>
      <c r="H25" s="128">
        <v>7</v>
      </c>
      <c r="I25" s="128">
        <v>8</v>
      </c>
      <c r="J25" s="125"/>
    </row>
    <row r="26" spans="1:21" s="7" customFormat="1" ht="15" customHeight="1" x14ac:dyDescent="0.45">
      <c r="A26" s="123" t="s">
        <v>32</v>
      </c>
      <c r="B26" s="1053" t="s">
        <v>132</v>
      </c>
      <c r="C26" s="1054"/>
      <c r="D26" s="72"/>
      <c r="E26" s="72"/>
      <c r="F26" s="72"/>
      <c r="G26" s="72"/>
      <c r="H26" s="72"/>
      <c r="I26" s="73"/>
      <c r="J26" s="75"/>
    </row>
    <row r="27" spans="1:21" s="7" customFormat="1" ht="15" customHeight="1" x14ac:dyDescent="0.45">
      <c r="A27" s="86" t="s">
        <v>15</v>
      </c>
      <c r="B27" s="22" t="s">
        <v>23</v>
      </c>
      <c r="C27" s="31"/>
      <c r="D27" s="31"/>
      <c r="E27" s="31"/>
      <c r="F27" s="31"/>
      <c r="G27" s="31"/>
      <c r="H27" s="31"/>
      <c r="I27" s="32"/>
      <c r="J27" s="80" t="s">
        <v>77</v>
      </c>
      <c r="K27" s="82" t="s">
        <v>78</v>
      </c>
      <c r="L27" s="81"/>
      <c r="M27" s="81"/>
    </row>
    <row r="28" spans="1:21" s="7" customFormat="1" ht="21.75" customHeight="1" x14ac:dyDescent="0.45">
      <c r="A28" s="779" t="s">
        <v>783</v>
      </c>
      <c r="B28" s="780"/>
      <c r="C28" s="780"/>
      <c r="D28" s="780"/>
      <c r="E28" s="780"/>
      <c r="F28" s="780"/>
      <c r="G28" s="780"/>
      <c r="H28" s="780"/>
      <c r="I28" s="781"/>
      <c r="J28" s="80"/>
      <c r="K28" s="82"/>
      <c r="L28" s="81"/>
      <c r="M28" s="81"/>
    </row>
    <row r="29" spans="1:21" s="7" customFormat="1" ht="15" customHeight="1" x14ac:dyDescent="0.45">
      <c r="A29" s="1007">
        <v>1</v>
      </c>
      <c r="B29" s="826" t="s">
        <v>75</v>
      </c>
      <c r="C29" s="187" t="s">
        <v>932</v>
      </c>
      <c r="D29" s="1004" t="s">
        <v>934</v>
      </c>
      <c r="E29" s="1004" t="s">
        <v>642</v>
      </c>
      <c r="F29" s="998" t="str">
        <f>IF(M29&lt;&gt;"rumus",L29&amp;" x "&amp;M29&amp;" = "&amp;L29*M29,"rumus")</f>
        <v>0,6 x 40 = 24</v>
      </c>
      <c r="G29" s="1004" t="s">
        <v>935</v>
      </c>
      <c r="H29" s="1004" t="s">
        <v>936</v>
      </c>
      <c r="I29" s="1004" t="s">
        <v>1042</v>
      </c>
      <c r="J29" s="1002" t="s">
        <v>937</v>
      </c>
      <c r="K29" s="1002" t="s">
        <v>508</v>
      </c>
      <c r="L29" s="1015">
        <f>IF(J29="1 Penulis (ke-1)",100%,IF(J29="2 Penulis (ke-1)",60%,IF(J29="2 Penulis (ke-2)",40%,IF(J29="3 Penulis (ke-1)",60%,IF(J29="3 Penulis (ke-2)",20%,IF(J29="3 Penulis (ke-3)",20%,IF(J29="4 Penulis (ke-1)",60%,IF(J29="4 Penulis (ke-2)",13.3%,IF(J29="4 Penulis (ke-3)",13.3%,IF(J29="4 Penulis (ke-4)",13.3%,"rumus"))))))))))</f>
        <v>0.6</v>
      </c>
      <c r="M29" s="1015">
        <f>IF(K29&lt;&gt;"",VLOOKUP(K29,List!$E$2:$F$23,2,0),"rumus")</f>
        <v>40</v>
      </c>
      <c r="N29" s="1014">
        <f>IFERROR(L29*M29,0)</f>
        <v>24</v>
      </c>
      <c r="O29" s="1014" t="str">
        <f>VLOOKUP(K29,List!$E$2:$G$23,3,0)</f>
        <v>A.1.b.1</v>
      </c>
      <c r="P29" s="1020" t="str">
        <f>IF(RIGHT(J29,6)="(ke-1)","Penulis Utama",IF(J29="","","Pendamping"))</f>
        <v>Penulis Utama</v>
      </c>
      <c r="S29" s="7">
        <f>L29*M29</f>
        <v>24</v>
      </c>
    </row>
    <row r="30" spans="1:21" s="7" customFormat="1" ht="79.5" customHeight="1" x14ac:dyDescent="0.45">
      <c r="A30" s="1023"/>
      <c r="B30" s="826" t="s">
        <v>76</v>
      </c>
      <c r="C30" s="187" t="s">
        <v>933</v>
      </c>
      <c r="D30" s="1005"/>
      <c r="E30" s="1005"/>
      <c r="F30" s="999"/>
      <c r="G30" s="1005"/>
      <c r="H30" s="1005"/>
      <c r="I30" s="1005"/>
      <c r="J30" s="1002"/>
      <c r="K30" s="1002"/>
      <c r="L30" s="1016"/>
      <c r="M30" s="1016"/>
      <c r="N30" s="1014"/>
      <c r="O30" s="1014"/>
      <c r="P30" s="1021"/>
    </row>
    <row r="31" spans="1:21" s="7" customFormat="1" ht="34.5" customHeight="1" x14ac:dyDescent="0.45">
      <c r="A31" s="1007">
        <v>2</v>
      </c>
      <c r="B31" s="828" t="s">
        <v>75</v>
      </c>
      <c r="C31" s="829" t="s">
        <v>938</v>
      </c>
      <c r="D31" s="1003" t="s">
        <v>941</v>
      </c>
      <c r="E31" s="1004" t="s">
        <v>642</v>
      </c>
      <c r="F31" s="998" t="str">
        <f>IF(M31&lt;&gt;"rumus",L31&amp;" x "&amp;M31&amp;" = "&amp;L31*M31,"rumus")</f>
        <v>0,133 x 40 = 5,32</v>
      </c>
      <c r="G31" s="1004" t="s">
        <v>935</v>
      </c>
      <c r="H31" s="1004" t="s">
        <v>936</v>
      </c>
      <c r="I31" s="1004" t="s">
        <v>1048</v>
      </c>
      <c r="J31" s="1002" t="s">
        <v>940</v>
      </c>
      <c r="K31" s="1002" t="s">
        <v>508</v>
      </c>
      <c r="L31" s="1015">
        <f>IF(J31="1 Penulis (ke-1)",100%,IF(J31="2 Penulis (ke-1)",60%,IF(J31="2 Penulis (ke-2)",40%,IF(J31="3 Penulis (ke-1)",60%,IF(J31="3 Penulis (ke-2)",20%,IF(J31="3 Penulis (ke-3)",20%,IF(J31="4 Penulis (ke-1)",60%,IF(J31="4 Penulis (ke-2)",13.3%,IF(J31="4 Penulis (ke-3)",13.3%,IF(J31="4 Penulis (ke-4)",13.3%,"rumus"))))))))))</f>
        <v>0.13300000000000001</v>
      </c>
      <c r="M31" s="1015">
        <f>IF(K31&lt;&gt;"",VLOOKUP(K31,List!$E$2:$F$23,2,0),"rumus")</f>
        <v>40</v>
      </c>
      <c r="N31" s="1014">
        <f t="shared" ref="N31" si="0">IFERROR(L31*M31,0)</f>
        <v>5.32</v>
      </c>
      <c r="O31" s="1014" t="str">
        <f>VLOOKUP(K31,List!$E$2:$G$23,3,0)</f>
        <v>A.1.b.1</v>
      </c>
      <c r="P31" s="1020" t="str">
        <f>IF(RIGHT(J31,6)="(ke-1)","Penulis Utama",IF(J31="","","Pendamping"))</f>
        <v>Pendamping</v>
      </c>
      <c r="S31" s="845"/>
    </row>
    <row r="32" spans="1:21" s="7" customFormat="1" ht="81" customHeight="1" x14ac:dyDescent="0.45">
      <c r="A32" s="1023"/>
      <c r="B32" s="828" t="s">
        <v>76</v>
      </c>
      <c r="C32" s="829" t="s">
        <v>939</v>
      </c>
      <c r="D32" s="1003"/>
      <c r="E32" s="1005"/>
      <c r="F32" s="999"/>
      <c r="G32" s="1005"/>
      <c r="H32" s="1005"/>
      <c r="I32" s="1005"/>
      <c r="J32" s="1002"/>
      <c r="K32" s="1002"/>
      <c r="L32" s="1016"/>
      <c r="M32" s="1016"/>
      <c r="N32" s="1014"/>
      <c r="O32" s="1014"/>
      <c r="P32" s="1021"/>
    </row>
    <row r="33" spans="1:16" s="7" customFormat="1" hidden="1" x14ac:dyDescent="0.45">
      <c r="A33" s="1007">
        <v>3</v>
      </c>
      <c r="B33" s="29" t="s">
        <v>75</v>
      </c>
      <c r="C33" s="187"/>
      <c r="D33" s="1013"/>
      <c r="E33" s="1013"/>
      <c r="F33" s="998" t="str">
        <f>IF(M33&lt;&gt;"rumus",L33&amp;" x "&amp;M33&amp;" = "&amp;L33*M33,"rumus")</f>
        <v>rumus</v>
      </c>
      <c r="G33" s="1019">
        <f>'Reviewer Eksternal (LK&amp;GB)1'!K16</f>
        <v>0</v>
      </c>
      <c r="H33" s="998"/>
      <c r="I33" s="1013" t="s">
        <v>66</v>
      </c>
      <c r="J33" s="1006"/>
      <c r="K33" s="1006"/>
      <c r="L33" s="1015" t="str">
        <f>IF(J33="1 Penulis (ke-1)",100%,IF(J33="2 Penulis (ke-1)",60%,IF(J33="2 Penulis (ke-2)",40%,IF(J33="3 Penulis (ke-1)",60%,IF(J33="3 Penulis (ke-2)",20%,IF(J33="3 Penulis (ke-3)",20%,IF(J33="4 Penulis (ke-1)",60%,IF(J33="4 Penulis (ke-2)",13.3%,IF(J33="4 Penulis (ke-3)",13.3%,IF(J33="4 Penulis (ke-4)",13.3%,"rumus"))))))))))</f>
        <v>rumus</v>
      </c>
      <c r="M33" s="1015" t="str">
        <f>IF(K33&lt;&gt;"",VLOOKUP(K33,List!$E$2:$F$23,2,0),"rumus")</f>
        <v>rumus</v>
      </c>
      <c r="N33" s="1014">
        <f t="shared" ref="N33" si="1">IFERROR(L33*M33,0)</f>
        <v>0</v>
      </c>
      <c r="O33" s="1014" t="e">
        <f>VLOOKUP(K33,List!$E$2:$G$23,3,0)</f>
        <v>#N/A</v>
      </c>
      <c r="P33" s="1020" t="str">
        <f>IF(RIGHT(J33,6)="(ke-1)","Penulis Utama",IF(J33="","","Pendamping"))</f>
        <v/>
      </c>
    </row>
    <row r="34" spans="1:16" s="7" customFormat="1" ht="66" hidden="1" customHeight="1" x14ac:dyDescent="0.45">
      <c r="A34" s="1023"/>
      <c r="B34" s="29" t="s">
        <v>76</v>
      </c>
      <c r="C34" s="187"/>
      <c r="D34" s="1013"/>
      <c r="E34" s="1013"/>
      <c r="F34" s="999"/>
      <c r="G34" s="1013"/>
      <c r="H34" s="999"/>
      <c r="I34" s="1013"/>
      <c r="J34" s="1006"/>
      <c r="K34" s="1006"/>
      <c r="L34" s="1016"/>
      <c r="M34" s="1016"/>
      <c r="N34" s="1014"/>
      <c r="O34" s="1014"/>
      <c r="P34" s="1021"/>
    </row>
    <row r="35" spans="1:16" s="7" customFormat="1" hidden="1" x14ac:dyDescent="0.45">
      <c r="A35" s="1007">
        <v>4</v>
      </c>
      <c r="B35" s="29" t="s">
        <v>75</v>
      </c>
      <c r="C35" s="188"/>
      <c r="D35" s="1013"/>
      <c r="E35" s="1013"/>
      <c r="F35" s="998" t="str">
        <f>IF(M35&lt;&gt;"rumus",L35&amp;" x "&amp;M35&amp;" = "&amp;L35*M35,"rumus")</f>
        <v>rumus</v>
      </c>
      <c r="G35" s="1019">
        <f>'Reviewer Eksternal (LK&amp;GB)1'!K18</f>
        <v>0</v>
      </c>
      <c r="H35" s="998"/>
      <c r="I35" s="1013" t="s">
        <v>66</v>
      </c>
      <c r="J35" s="1006"/>
      <c r="K35" s="1006"/>
      <c r="L35" s="1015" t="str">
        <f>IF(J35="1 Penulis (ke-1)",100%,IF(J35="2 Penulis (ke-1)",60%,IF(J35="2 Penulis (ke-2)",40%,IF(J35="3 Penulis (ke-1)",60%,IF(J35="3 Penulis (ke-2)",20%,IF(J35="3 Penulis (ke-3)",20%,IF(J35="4 Penulis (ke-1)",60%,IF(J35="4 Penulis (ke-2)",13.3%,IF(J35="4 Penulis (ke-3)",13.3%,IF(J35="4 Penulis (ke-4)",13.3%,"rumus"))))))))))</f>
        <v>rumus</v>
      </c>
      <c r="M35" s="1015" t="str">
        <f>IF(K35&lt;&gt;"",VLOOKUP(K35,List!$E$2:$F$23,2,0),"rumus")</f>
        <v>rumus</v>
      </c>
      <c r="N35" s="1014">
        <f t="shared" ref="N35" si="2">IFERROR(L35*M35,0)</f>
        <v>0</v>
      </c>
      <c r="O35" s="1014" t="e">
        <f>VLOOKUP(K35,List!$E$2:$G$23,3,0)</f>
        <v>#N/A</v>
      </c>
      <c r="P35" s="1020" t="str">
        <f>IF(RIGHT(J35,6)="(ke-1)","Penulis Utama",IF(J35="","","Pendamping"))</f>
        <v/>
      </c>
    </row>
    <row r="36" spans="1:16" s="7" customFormat="1" ht="66" hidden="1" customHeight="1" x14ac:dyDescent="0.45">
      <c r="A36" s="1023"/>
      <c r="B36" s="29" t="s">
        <v>76</v>
      </c>
      <c r="C36" s="187"/>
      <c r="D36" s="1013"/>
      <c r="E36" s="1013"/>
      <c r="F36" s="999"/>
      <c r="G36" s="1013"/>
      <c r="H36" s="999"/>
      <c r="I36" s="1013"/>
      <c r="J36" s="1006"/>
      <c r="K36" s="1006"/>
      <c r="L36" s="1016"/>
      <c r="M36" s="1016"/>
      <c r="N36" s="1014"/>
      <c r="O36" s="1014"/>
      <c r="P36" s="1021"/>
    </row>
    <row r="37" spans="1:16" s="7" customFormat="1" hidden="1" x14ac:dyDescent="0.45">
      <c r="A37" s="1007">
        <v>5</v>
      </c>
      <c r="B37" s="29" t="s">
        <v>75</v>
      </c>
      <c r="C37" s="187"/>
      <c r="D37" s="1013"/>
      <c r="E37" s="1013"/>
      <c r="F37" s="998" t="str">
        <f>IF(M37&lt;&gt;"rumus",L37&amp;" x "&amp;M37&amp;" = "&amp;L37*M37,"rumus")</f>
        <v>rumus</v>
      </c>
      <c r="G37" s="1019">
        <f>'Reviewer Eksternal (LK&amp;GB)1'!K20</f>
        <v>0</v>
      </c>
      <c r="H37" s="998"/>
      <c r="I37" s="1013" t="s">
        <v>66</v>
      </c>
      <c r="J37" s="1006"/>
      <c r="K37" s="1006"/>
      <c r="L37" s="1015" t="str">
        <f>IF(J37="1 Penulis (ke-1)",100%,IF(J37="2 Penulis (ke-1)",60%,IF(J37="2 Penulis (ke-2)",40%,IF(J37="3 Penulis (ke-1)",60%,IF(J37="3 Penulis (ke-2)",20%,IF(J37="3 Penulis (ke-3)",20%,IF(J37="4 Penulis (ke-1)",60%,IF(J37="4 Penulis (ke-2)",13.3%,IF(J37="4 Penulis (ke-3)",13.3%,IF(J37="4 Penulis (ke-4)",13.3%,"rumus"))))))))))</f>
        <v>rumus</v>
      </c>
      <c r="M37" s="1015" t="str">
        <f>IF(K37&lt;&gt;"",VLOOKUP(K37,List!$E$2:$F$23,2,0),"rumus")</f>
        <v>rumus</v>
      </c>
      <c r="N37" s="1014">
        <f t="shared" ref="N37" si="3">IFERROR(L37*M37,0)</f>
        <v>0</v>
      </c>
      <c r="O37" s="1014" t="e">
        <f>VLOOKUP(K37,List!$E$2:$G$23,3,0)</f>
        <v>#N/A</v>
      </c>
      <c r="P37" s="1020" t="str">
        <f>IF(RIGHT(J37,6)="(ke-1)","Penulis Utama",IF(J37="","","Pendamping"))</f>
        <v/>
      </c>
    </row>
    <row r="38" spans="1:16" s="7" customFormat="1" ht="66" hidden="1" customHeight="1" x14ac:dyDescent="0.45">
      <c r="A38" s="1023"/>
      <c r="B38" s="29" t="s">
        <v>76</v>
      </c>
      <c r="C38" s="187"/>
      <c r="D38" s="1013"/>
      <c r="E38" s="1013"/>
      <c r="F38" s="999"/>
      <c r="G38" s="1013"/>
      <c r="H38" s="999"/>
      <c r="I38" s="1013"/>
      <c r="J38" s="1006"/>
      <c r="K38" s="1006"/>
      <c r="L38" s="1016"/>
      <c r="M38" s="1016"/>
      <c r="N38" s="1014"/>
      <c r="O38" s="1014"/>
      <c r="P38" s="1021"/>
    </row>
    <row r="39" spans="1:16" s="7" customFormat="1" hidden="1" x14ac:dyDescent="0.45">
      <c r="A39" s="1007">
        <v>6</v>
      </c>
      <c r="B39" s="29" t="s">
        <v>75</v>
      </c>
      <c r="C39" s="187"/>
      <c r="D39" s="1013"/>
      <c r="E39" s="1013"/>
      <c r="F39" s="998" t="str">
        <f>IF(M39&lt;&gt;"rumus",L39&amp;" x "&amp;M39&amp;" = "&amp;L39*M39,"rumus")</f>
        <v>rumus</v>
      </c>
      <c r="G39" s="1019">
        <f>'Reviewer Eksternal (LK&amp;GB)1'!K22</f>
        <v>0</v>
      </c>
      <c r="H39" s="998"/>
      <c r="I39" s="1013" t="s">
        <v>66</v>
      </c>
      <c r="J39" s="1006"/>
      <c r="K39" s="1006"/>
      <c r="L39" s="1015" t="str">
        <f>IF(J39="1 Penulis (ke-1)",100%,IF(J39="2 Penulis (ke-1)",60%,IF(J39="2 Penulis (ke-2)",40%,IF(J39="3 Penulis (ke-1)",60%,IF(J39="3 Penulis (ke-2)",20%,IF(J39="3 Penulis (ke-3)",20%,IF(J39="4 Penulis (ke-1)",60%,IF(J39="4 Penulis (ke-2)",13.3%,IF(J39="4 Penulis (ke-3)",13.3%,IF(J39="4 Penulis (ke-4)",13.3%,"rumus"))))))))))</f>
        <v>rumus</v>
      </c>
      <c r="M39" s="1015" t="str">
        <f>IF(K39&lt;&gt;"",VLOOKUP(K39,List!$E$2:$F$23,2,0),"rumus")</f>
        <v>rumus</v>
      </c>
      <c r="N39" s="1014">
        <f t="shared" ref="N39" si="4">IFERROR(L39*M39,0)</f>
        <v>0</v>
      </c>
      <c r="O39" s="1014" t="e">
        <f>VLOOKUP(K39,List!$E$2:$G$23,3,0)</f>
        <v>#N/A</v>
      </c>
      <c r="P39" s="1020" t="str">
        <f>IF(RIGHT(J39,6)="(ke-1)","Penulis Utama",IF(J39="","","Pendamping"))</f>
        <v/>
      </c>
    </row>
    <row r="40" spans="1:16" s="7" customFormat="1" ht="66" hidden="1" customHeight="1" x14ac:dyDescent="0.45">
      <c r="A40" s="1023"/>
      <c r="B40" s="29" t="s">
        <v>76</v>
      </c>
      <c r="C40" s="187"/>
      <c r="D40" s="1013"/>
      <c r="E40" s="1013"/>
      <c r="F40" s="999"/>
      <c r="G40" s="1013"/>
      <c r="H40" s="999"/>
      <c r="I40" s="1013"/>
      <c r="J40" s="1006"/>
      <c r="K40" s="1006"/>
      <c r="L40" s="1016"/>
      <c r="M40" s="1016"/>
      <c r="N40" s="1014"/>
      <c r="O40" s="1014"/>
      <c r="P40" s="1021"/>
    </row>
    <row r="41" spans="1:16" s="7" customFormat="1" hidden="1" x14ac:dyDescent="0.45">
      <c r="A41" s="1007">
        <v>7</v>
      </c>
      <c r="B41" s="29" t="s">
        <v>75</v>
      </c>
      <c r="C41" s="188"/>
      <c r="D41" s="1013"/>
      <c r="E41" s="1013"/>
      <c r="F41" s="998" t="str">
        <f>IF(M41&lt;&gt;"rumus",L41&amp;" x "&amp;M41&amp;" = "&amp;L41*M41,"rumus")</f>
        <v>rumus</v>
      </c>
      <c r="G41" s="1019">
        <f>'Reviewer Eksternal (LK&amp;GB)1'!K24</f>
        <v>0</v>
      </c>
      <c r="H41" s="998"/>
      <c r="I41" s="1013" t="s">
        <v>66</v>
      </c>
      <c r="J41" s="1006"/>
      <c r="K41" s="1006"/>
      <c r="L41" s="1015" t="str">
        <f>IF(J41="1 Penulis (ke-1)",100%,IF(J41="2 Penulis (ke-1)",60%,IF(J41="2 Penulis (ke-2)",40%,IF(J41="3 Penulis (ke-1)",60%,IF(J41="3 Penulis (ke-2)",20%,IF(J41="3 Penulis (ke-3)",20%,IF(J41="4 Penulis (ke-1)",60%,IF(J41="4 Penulis (ke-2)",13.3%,IF(J41="4 Penulis (ke-3)",13.3%,IF(J41="4 Penulis (ke-4)",13.3%,"rumus"))))))))))</f>
        <v>rumus</v>
      </c>
      <c r="M41" s="1015" t="str">
        <f>IF(K41&lt;&gt;"",VLOOKUP(K41,List!$E$2:$F$23,2,0),"rumus")</f>
        <v>rumus</v>
      </c>
      <c r="N41" s="1014">
        <f t="shared" ref="N41" si="5">IFERROR(L41*M41,0)</f>
        <v>0</v>
      </c>
      <c r="O41" s="1014" t="e">
        <f>VLOOKUP(K41,List!$E$2:$G$23,3,0)</f>
        <v>#N/A</v>
      </c>
      <c r="P41" s="1020" t="str">
        <f>IF(RIGHT(J41,6)="(ke-1)","Penulis Utama",IF(J41="","","Pendamping"))</f>
        <v/>
      </c>
    </row>
    <row r="42" spans="1:16" s="7" customFormat="1" ht="66" hidden="1" customHeight="1" x14ac:dyDescent="0.45">
      <c r="A42" s="1023"/>
      <c r="B42" s="29" t="s">
        <v>76</v>
      </c>
      <c r="C42" s="187"/>
      <c r="D42" s="1013"/>
      <c r="E42" s="1013"/>
      <c r="F42" s="999"/>
      <c r="G42" s="1013"/>
      <c r="H42" s="999"/>
      <c r="I42" s="1013"/>
      <c r="J42" s="1006"/>
      <c r="K42" s="1006"/>
      <c r="L42" s="1016"/>
      <c r="M42" s="1016"/>
      <c r="N42" s="1014"/>
      <c r="O42" s="1014"/>
      <c r="P42" s="1021"/>
    </row>
    <row r="43" spans="1:16" s="7" customFormat="1" hidden="1" x14ac:dyDescent="0.45">
      <c r="A43" s="1007">
        <v>8</v>
      </c>
      <c r="B43" s="29" t="s">
        <v>75</v>
      </c>
      <c r="C43" s="188"/>
      <c r="D43" s="1013"/>
      <c r="E43" s="1013"/>
      <c r="F43" s="998" t="str">
        <f>IF(M43&lt;&gt;"rumus",L43&amp;" x "&amp;M43&amp;" = "&amp;L43*M43,"rumus")</f>
        <v>rumus</v>
      </c>
      <c r="G43" s="1019">
        <f>'Reviewer Eksternal (LK&amp;GB)1'!K26</f>
        <v>0</v>
      </c>
      <c r="H43" s="998"/>
      <c r="I43" s="1013" t="s">
        <v>66</v>
      </c>
      <c r="J43" s="1006"/>
      <c r="K43" s="1006"/>
      <c r="L43" s="1015" t="str">
        <f>IF(J43="1 Penulis (ke-1)",100%,IF(J43="2 Penulis (ke-1)",60%,IF(J43="2 Penulis (ke-2)",40%,IF(J43="3 Penulis (ke-1)",60%,IF(J43="3 Penulis (ke-2)",20%,IF(J43="3 Penulis (ke-3)",20%,IF(J43="4 Penulis (ke-1)",60%,IF(J43="4 Penulis (ke-2)",13.3%,IF(J43="4 Penulis (ke-3)",13.3%,IF(J43="4 Penulis (ke-4)",13.3%,"rumus"))))))))))</f>
        <v>rumus</v>
      </c>
      <c r="M43" s="1015" t="str">
        <f>IF(K43&lt;&gt;"",VLOOKUP(K43,List!$E$2:$F$23,2,0),"rumus")</f>
        <v>rumus</v>
      </c>
      <c r="N43" s="1014">
        <f t="shared" ref="N43" si="6">IFERROR(L43*M43,0)</f>
        <v>0</v>
      </c>
      <c r="O43" s="1014" t="e">
        <f>VLOOKUP(K43,List!$E$2:$G$23,3,0)</f>
        <v>#N/A</v>
      </c>
      <c r="P43" s="1020" t="str">
        <f>IF(RIGHT(J43,6)="(ke-1)","Penulis Utama",IF(J43="","","Pendamping"))</f>
        <v/>
      </c>
    </row>
    <row r="44" spans="1:16" s="7" customFormat="1" ht="66" hidden="1" customHeight="1" x14ac:dyDescent="0.45">
      <c r="A44" s="1023"/>
      <c r="B44" s="29" t="s">
        <v>76</v>
      </c>
      <c r="C44" s="187"/>
      <c r="D44" s="1013"/>
      <c r="E44" s="1013"/>
      <c r="F44" s="999"/>
      <c r="G44" s="1013"/>
      <c r="H44" s="999"/>
      <c r="I44" s="1013"/>
      <c r="J44" s="1006"/>
      <c r="K44" s="1006"/>
      <c r="L44" s="1016"/>
      <c r="M44" s="1016"/>
      <c r="N44" s="1014"/>
      <c r="O44" s="1014"/>
      <c r="P44" s="1021"/>
    </row>
    <row r="45" spans="1:16" s="7" customFormat="1" ht="15" hidden="1" customHeight="1" x14ac:dyDescent="0.45">
      <c r="A45" s="1007">
        <v>9</v>
      </c>
      <c r="B45" s="29" t="s">
        <v>75</v>
      </c>
      <c r="C45" s="188"/>
      <c r="D45" s="1013"/>
      <c r="E45" s="1013"/>
      <c r="F45" s="998" t="str">
        <f>IF(M45&lt;&gt;"rumus",L45&amp;" x "&amp;M45&amp;" = "&amp;L45*M45,"rumus")</f>
        <v>rumus</v>
      </c>
      <c r="G45" s="1019">
        <f>'Reviewer Eksternal (LK&amp;GB)1'!K28</f>
        <v>0</v>
      </c>
      <c r="H45" s="998"/>
      <c r="I45" s="1013" t="s">
        <v>66</v>
      </c>
      <c r="J45" s="1006"/>
      <c r="K45" s="1006"/>
      <c r="L45" s="1015" t="str">
        <f>IF(J45="1 Penulis (ke-1)",100%,IF(J45="2 Penulis (ke-1)",60%,IF(J45="2 Penulis (ke-2)",40%,IF(J45="3 Penulis (ke-1)",60%,IF(J45="3 Penulis (ke-2)",20%,IF(J45="3 Penulis (ke-3)",20%,IF(J45="4 Penulis (ke-1)",60%,IF(J45="4 Penulis (ke-2)",13.3%,IF(J45="4 Penulis (ke-3)",13.3%,IF(J45="4 Penulis (ke-4)",13.3%,"rumus"))))))))))</f>
        <v>rumus</v>
      </c>
      <c r="M45" s="1015" t="str">
        <f>IF(K45&lt;&gt;"",VLOOKUP(K45,List!$E$2:$F$23,2,0),"rumus")</f>
        <v>rumus</v>
      </c>
      <c r="N45" s="1014">
        <f t="shared" ref="N45" si="7">IFERROR(L45*M45,0)</f>
        <v>0</v>
      </c>
      <c r="O45" s="1014" t="e">
        <f>VLOOKUP(K45,List!$E$2:$G$23,3,0)</f>
        <v>#N/A</v>
      </c>
      <c r="P45" s="1020" t="str">
        <f>IF(RIGHT(J45,6)="(ke-1)","Penulis Utama",IF(J45="","","Pendamping"))</f>
        <v/>
      </c>
    </row>
    <row r="46" spans="1:16" s="7" customFormat="1" ht="79.5" hidden="1" customHeight="1" x14ac:dyDescent="0.45">
      <c r="A46" s="1023"/>
      <c r="B46" s="29" t="s">
        <v>76</v>
      </c>
      <c r="C46" s="187"/>
      <c r="D46" s="1013"/>
      <c r="E46" s="1013"/>
      <c r="F46" s="999"/>
      <c r="G46" s="1013"/>
      <c r="H46" s="999"/>
      <c r="I46" s="1013"/>
      <c r="J46" s="1006"/>
      <c r="K46" s="1006"/>
      <c r="L46" s="1016"/>
      <c r="M46" s="1016"/>
      <c r="N46" s="1014"/>
      <c r="O46" s="1014"/>
      <c r="P46" s="1021"/>
    </row>
    <row r="47" spans="1:16" s="7" customFormat="1" ht="15" hidden="1" customHeight="1" x14ac:dyDescent="0.45">
      <c r="A47" s="1007">
        <v>10</v>
      </c>
      <c r="B47" s="29" t="s">
        <v>75</v>
      </c>
      <c r="C47" s="188"/>
      <c r="D47" s="1013"/>
      <c r="E47" s="1013"/>
      <c r="F47" s="998" t="str">
        <f>IF(M47&lt;&gt;"rumus",L47&amp;" x "&amp;M47&amp;" = "&amp;L47*M47,"rumus")</f>
        <v>rumus</v>
      </c>
      <c r="G47" s="1019">
        <f>'Reviewer Eksternal (LK&amp;GB)1'!K30</f>
        <v>0</v>
      </c>
      <c r="H47" s="998"/>
      <c r="I47" s="1013" t="s">
        <v>66</v>
      </c>
      <c r="J47" s="1006"/>
      <c r="K47" s="1006"/>
      <c r="L47" s="1015" t="str">
        <f>IF(J47="1 Penulis (ke-1)",100%,IF(J47="2 Penulis (ke-1)",60%,IF(J47="2 Penulis (ke-2)",40%,IF(J47="3 Penulis (ke-1)",60%,IF(J47="3 Penulis (ke-2)",20%,IF(J47="3 Penulis (ke-3)",20%,IF(J47="4 Penulis (ke-1)",60%,IF(J47="4 Penulis (ke-2)",13.3%,IF(J47="4 Penulis (ke-3)",13.3%,IF(J47="4 Penulis (ke-4)",13.3%,"rumus"))))))))))</f>
        <v>rumus</v>
      </c>
      <c r="M47" s="1015" t="str">
        <f>IF(K47&lt;&gt;"",VLOOKUP(K47,List!$E$2:$F$23,2,0),"rumus")</f>
        <v>rumus</v>
      </c>
      <c r="N47" s="1014">
        <f t="shared" ref="N47" si="8">IFERROR(L47*M47,0)</f>
        <v>0</v>
      </c>
      <c r="O47" s="1014" t="e">
        <f>VLOOKUP(K47,List!$E$2:$G$23,3,0)</f>
        <v>#N/A</v>
      </c>
      <c r="P47" s="1020" t="str">
        <f>IF(RIGHT(J47,6)="(ke-1)","Penulis Utama",IF(J47="","","Pendamping"))</f>
        <v/>
      </c>
    </row>
    <row r="48" spans="1:16" s="7" customFormat="1" ht="52.5" hidden="1" customHeight="1" x14ac:dyDescent="0.45">
      <c r="A48" s="1023"/>
      <c r="B48" s="29" t="s">
        <v>76</v>
      </c>
      <c r="C48" s="187"/>
      <c r="D48" s="1013"/>
      <c r="E48" s="1013"/>
      <c r="F48" s="999"/>
      <c r="G48" s="1013"/>
      <c r="H48" s="999"/>
      <c r="I48" s="1013"/>
      <c r="J48" s="1006"/>
      <c r="K48" s="1006"/>
      <c r="L48" s="1016"/>
      <c r="M48" s="1016"/>
      <c r="N48" s="1014"/>
      <c r="O48" s="1014"/>
      <c r="P48" s="1021"/>
    </row>
    <row r="49" spans="1:19" s="7" customFormat="1" ht="27.75" customHeight="1" x14ac:dyDescent="0.45">
      <c r="A49" s="779" t="s">
        <v>784</v>
      </c>
      <c r="B49" s="780"/>
      <c r="C49" s="780"/>
      <c r="D49" s="780"/>
      <c r="E49" s="780"/>
      <c r="F49" s="780"/>
      <c r="G49" s="780"/>
      <c r="H49" s="780"/>
      <c r="I49" s="781"/>
      <c r="J49" s="776"/>
      <c r="K49" s="776"/>
      <c r="L49" s="777"/>
      <c r="M49" s="777"/>
      <c r="N49" s="778"/>
      <c r="O49" s="577"/>
    </row>
    <row r="50" spans="1:19" s="7" customFormat="1" ht="15" customHeight="1" x14ac:dyDescent="0.45">
      <c r="A50" s="1007">
        <v>3</v>
      </c>
      <c r="B50" s="832" t="s">
        <v>75</v>
      </c>
      <c r="C50" s="834" t="s">
        <v>948</v>
      </c>
      <c r="D50" s="1003" t="s">
        <v>943</v>
      </c>
      <c r="E50" s="1003" t="s">
        <v>968</v>
      </c>
      <c r="F50" s="998" t="str">
        <f>IF(M50&lt;&gt;"rumus",L50&amp;" x "&amp;M50&amp;" = "&amp;L50*M50,"rumus")</f>
        <v>0,4 x 25 = 10</v>
      </c>
      <c r="G50" s="1003" t="s">
        <v>935</v>
      </c>
      <c r="H50" s="1003" t="s">
        <v>936</v>
      </c>
      <c r="I50" s="1003" t="s">
        <v>1043</v>
      </c>
      <c r="J50" s="1002" t="s">
        <v>949</v>
      </c>
      <c r="K50" s="1002" t="s">
        <v>511</v>
      </c>
      <c r="L50" s="1015">
        <f>IF(J50="1 Penulis (ke-1)",100%,IF(J50="2 Penulis (ke-1)",60%,IF(J50="2 Penulis (ke-2)",40%,IF(J50="3 Penulis (ke-1)",60%,IF(J50="3 Penulis (ke-2)",20%,IF(J50="3 Penulis (ke-3)",20%,IF(J50="4 Penulis (ke-1)",60%,IF(J50="4 Penulis (ke-2)",13.3%,IF(J50="4 Penulis (ke-3)",13.3%,IF(J50="4 Penulis (ke-4)",13.3%,"rumus"))))))))))</f>
        <v>0.4</v>
      </c>
      <c r="M50" s="1015">
        <f>IF(K50&lt;&gt;"",VLOOKUP(K50,List!$E$2:$F$23,2,0),"rumus")</f>
        <v>25</v>
      </c>
      <c r="N50" s="1014">
        <f t="shared" ref="N50" si="9">IFERROR(L50*M50,0)</f>
        <v>10</v>
      </c>
      <c r="O50" s="1014" t="str">
        <f>VLOOKUP(K50,List!$E$2:$G$23,3,0)</f>
        <v>A.1.b.2</v>
      </c>
      <c r="P50" s="1020" t="str">
        <f>IF(RIGHT(J50,6)="(ke-1)","Penulis Utama",IF(J50="","","Pendamping"))</f>
        <v>Pendamping</v>
      </c>
      <c r="Q50" s="1020" t="str">
        <f>IF(RIGHT(K50,13)="terakreditasi","terakreditasi","tidak terakreditasi")</f>
        <v>terakreditasi</v>
      </c>
      <c r="S50" s="845"/>
    </row>
    <row r="51" spans="1:19" s="7" customFormat="1" ht="81" customHeight="1" x14ac:dyDescent="0.45">
      <c r="A51" s="1008"/>
      <c r="B51" s="832" t="s">
        <v>76</v>
      </c>
      <c r="C51" s="833" t="s">
        <v>966</v>
      </c>
      <c r="D51" s="1003"/>
      <c r="E51" s="1003"/>
      <c r="F51" s="999"/>
      <c r="G51" s="1003"/>
      <c r="H51" s="1003"/>
      <c r="I51" s="1003"/>
      <c r="J51" s="1002"/>
      <c r="K51" s="1002"/>
      <c r="L51" s="1016"/>
      <c r="M51" s="1016"/>
      <c r="N51" s="1014"/>
      <c r="O51" s="1014"/>
      <c r="P51" s="1021"/>
      <c r="Q51" s="1021"/>
    </row>
    <row r="52" spans="1:19" s="7" customFormat="1" ht="26.25" x14ac:dyDescent="0.45">
      <c r="A52" s="1007">
        <v>4</v>
      </c>
      <c r="B52" s="846" t="s">
        <v>75</v>
      </c>
      <c r="C52" s="852" t="s">
        <v>965</v>
      </c>
      <c r="D52" s="1036">
        <v>43420</v>
      </c>
      <c r="E52" s="1004" t="s">
        <v>969</v>
      </c>
      <c r="F52" s="998" t="str">
        <f>IF(M52&lt;&gt;"rumus",L52&amp;" x "&amp;M52&amp;" = "&amp;L52*M52,"rumus")</f>
        <v>0,133 x 25 = 3,325</v>
      </c>
      <c r="G52" s="1003" t="s">
        <v>935</v>
      </c>
      <c r="H52" s="1003" t="s">
        <v>936</v>
      </c>
      <c r="I52" s="1003" t="s">
        <v>1044</v>
      </c>
      <c r="J52" s="1006" t="s">
        <v>967</v>
      </c>
      <c r="K52" s="1006" t="s">
        <v>511</v>
      </c>
      <c r="L52" s="1015">
        <f>IF(J52="1 Penulis (ke-1)",100%,IF(J52="2 Penulis (ke-1)",60%,IF(J52="2 Penulis (ke-2)",40%,IF(J52="3 Penulis (ke-1)",60%,IF(J52="3 Penulis (ke-2)",20%,IF(J52="3 Penulis (ke-3)",20%,IF(J52="4 Penulis (ke-1)",60%,IF(J52="4 Penulis (ke-2)",13.3%,IF(J52="4 Penulis (ke-3)",13.3%,IF(J52="4 Penulis (ke-4)",13.3%,"rumus"))))))))))</f>
        <v>0.13300000000000001</v>
      </c>
      <c r="M52" s="1015">
        <f>IF(K52&lt;&gt;"",VLOOKUP(K52,List!$E$2:$F$23,2,0),"rumus")</f>
        <v>25</v>
      </c>
      <c r="N52" s="1014">
        <f t="shared" ref="N52" si="10">IFERROR(L52*M52,0)</f>
        <v>3.3250000000000002</v>
      </c>
      <c r="O52" s="1014" t="str">
        <f>VLOOKUP(K52,List!$E$2:$G$23,3,0)</f>
        <v>A.1.b.2</v>
      </c>
      <c r="P52" s="1020" t="str">
        <f>IF(RIGHT(J52,6)="(ke-1)","Penulis Utama",IF(J52="","","Pendamping"))</f>
        <v>Pendamping</v>
      </c>
      <c r="Q52" s="1020" t="str">
        <f>IF(RIGHT(K52,13)="terakreditasi","terakreditasi","tidak terakreditasi")</f>
        <v>terakreditasi</v>
      </c>
      <c r="S52" s="845"/>
    </row>
    <row r="53" spans="1:19" s="7" customFormat="1" ht="65.650000000000006" x14ac:dyDescent="0.45">
      <c r="A53" s="1008"/>
      <c r="B53" s="846" t="s">
        <v>76</v>
      </c>
      <c r="C53" s="852" t="s">
        <v>1008</v>
      </c>
      <c r="D53" s="1005"/>
      <c r="E53" s="1005"/>
      <c r="F53" s="999"/>
      <c r="G53" s="1003"/>
      <c r="H53" s="1003"/>
      <c r="I53" s="1003"/>
      <c r="J53" s="1006"/>
      <c r="K53" s="1006"/>
      <c r="L53" s="1016"/>
      <c r="M53" s="1016"/>
      <c r="N53" s="1014"/>
      <c r="O53" s="1014"/>
      <c r="P53" s="1021"/>
      <c r="Q53" s="1021"/>
    </row>
    <row r="54" spans="1:19" s="7" customFormat="1" ht="15" hidden="1" customHeight="1" x14ac:dyDescent="0.45">
      <c r="A54" s="1007">
        <v>13</v>
      </c>
      <c r="B54" s="29" t="s">
        <v>75</v>
      </c>
      <c r="C54" s="831"/>
      <c r="D54" s="1004"/>
      <c r="E54" s="1004"/>
      <c r="F54" s="998" t="str">
        <f>IF(M54&lt;&gt;"rumus",L54&amp;" x "&amp;M54&amp;" = "&amp;L54*M54,"rumus")</f>
        <v>rumus</v>
      </c>
      <c r="G54" s="1019">
        <f>'Reviewer Eksternal (LK&amp;GB)1'!K37</f>
        <v>0</v>
      </c>
      <c r="H54" s="998"/>
      <c r="I54" s="1013" t="s">
        <v>66</v>
      </c>
      <c r="J54" s="1006"/>
      <c r="K54" s="1006"/>
      <c r="L54" s="1015" t="str">
        <f>IF(J54="1 Penulis (ke-1)",100%,IF(J54="2 Penulis (ke-1)",60%,IF(J54="2 Penulis (ke-2)",40%,IF(J54="3 Penulis (ke-1)",60%,IF(J54="3 Penulis (ke-2)",20%,IF(J54="3 Penulis (ke-3)",20%,IF(J54="4 Penulis (ke-1)",60%,IF(J54="4 Penulis (ke-2)",13.3%,IF(J54="4 Penulis (ke-3)",13.3%,IF(J54="4 Penulis (ke-4)",13.3%,"rumus"))))))))))</f>
        <v>rumus</v>
      </c>
      <c r="M54" s="1015" t="str">
        <f>IF(K54&lt;&gt;"",VLOOKUP(K54,List!$E$2:$F$23,2,0),"rumus")</f>
        <v>rumus</v>
      </c>
      <c r="N54" s="1014">
        <f t="shared" ref="N54" si="11">IFERROR(L54*M54,0)</f>
        <v>0</v>
      </c>
      <c r="O54" s="1014" t="e">
        <f>VLOOKUP(K54,List!$E$2:$G$23,3,0)</f>
        <v>#N/A</v>
      </c>
      <c r="P54" s="1020" t="str">
        <f>IF(RIGHT(J54,6)="(ke-1)","Penulis Utama",IF(J54="","","Pendamping"))</f>
        <v/>
      </c>
      <c r="Q54" s="1020" t="str">
        <f>IF(RIGHT(K54,13)="terakreditasi","terakreditasi","tidak terakreditasi")</f>
        <v>tidak terakreditasi</v>
      </c>
    </row>
    <row r="55" spans="1:19" s="7" customFormat="1" ht="52.5" hidden="1" customHeight="1" x14ac:dyDescent="0.45">
      <c r="A55" s="1008"/>
      <c r="B55" s="29" t="s">
        <v>76</v>
      </c>
      <c r="C55" s="830"/>
      <c r="D55" s="1005"/>
      <c r="E55" s="1005"/>
      <c r="F55" s="999"/>
      <c r="G55" s="1013"/>
      <c r="H55" s="999"/>
      <c r="I55" s="1013"/>
      <c r="J55" s="1006"/>
      <c r="K55" s="1006"/>
      <c r="L55" s="1016"/>
      <c r="M55" s="1016"/>
      <c r="N55" s="1014"/>
      <c r="O55" s="1014"/>
      <c r="P55" s="1021"/>
      <c r="Q55" s="1021"/>
    </row>
    <row r="56" spans="1:19" s="7" customFormat="1" ht="15" hidden="1" customHeight="1" x14ac:dyDescent="0.45">
      <c r="A56" s="1007">
        <v>14</v>
      </c>
      <c r="B56" s="29" t="s">
        <v>75</v>
      </c>
      <c r="C56" s="188"/>
      <c r="D56" s="1013"/>
      <c r="E56" s="1013"/>
      <c r="F56" s="998" t="str">
        <f>IF(M56&lt;&gt;"rumus",L56&amp;" x "&amp;M56&amp;" = "&amp;L56*M56,"rumus")</f>
        <v>rumus</v>
      </c>
      <c r="G56" s="1019">
        <f>'Reviewer Eksternal (LK&amp;GB)1'!K39</f>
        <v>0</v>
      </c>
      <c r="H56" s="998"/>
      <c r="I56" s="1013" t="s">
        <v>66</v>
      </c>
      <c r="J56" s="1006"/>
      <c r="K56" s="1006"/>
      <c r="L56" s="1015" t="str">
        <f>IF(J56="1 Penulis (ke-1)",100%,IF(J56="2 Penulis (ke-1)",60%,IF(J56="2 Penulis (ke-2)",40%,IF(J56="3 Penulis (ke-1)",60%,IF(J56="3 Penulis (ke-2)",20%,IF(J56="3 Penulis (ke-3)",20%,IF(J56="4 Penulis (ke-1)",60%,IF(J56="4 Penulis (ke-2)",13.3%,IF(J56="4 Penulis (ke-3)",13.3%,IF(J56="4 Penulis (ke-4)",13.3%,"rumus"))))))))))</f>
        <v>rumus</v>
      </c>
      <c r="M56" s="1015" t="str">
        <f>IF(K56&lt;&gt;"",VLOOKUP(K56,List!$E$2:$F$23,2,0),"rumus")</f>
        <v>rumus</v>
      </c>
      <c r="N56" s="1014">
        <f t="shared" ref="N56" si="12">IFERROR(L56*M56,0)</f>
        <v>0</v>
      </c>
      <c r="O56" s="1014" t="e">
        <f>VLOOKUP(K56,List!$E$2:$G$23,3,0)</f>
        <v>#N/A</v>
      </c>
      <c r="P56" s="1020" t="str">
        <f>IF(RIGHT(J56,6)="(ke-1)","Penulis Utama",IF(J56="","","Pendamping"))</f>
        <v/>
      </c>
      <c r="Q56" s="1020" t="str">
        <f>IF(RIGHT(K56,13)="terakreditasi","terakreditasi","tidak terakreditasi")</f>
        <v>tidak terakreditasi</v>
      </c>
    </row>
    <row r="57" spans="1:19" s="7" customFormat="1" ht="52.5" hidden="1" customHeight="1" x14ac:dyDescent="0.45">
      <c r="A57" s="1023"/>
      <c r="B57" s="29" t="s">
        <v>76</v>
      </c>
      <c r="C57" s="187"/>
      <c r="D57" s="1013"/>
      <c r="E57" s="1013"/>
      <c r="F57" s="999"/>
      <c r="G57" s="1013"/>
      <c r="H57" s="999"/>
      <c r="I57" s="1013"/>
      <c r="J57" s="1006"/>
      <c r="K57" s="1006"/>
      <c r="L57" s="1016"/>
      <c r="M57" s="1016"/>
      <c r="N57" s="1014"/>
      <c r="O57" s="1014"/>
      <c r="P57" s="1021"/>
      <c r="Q57" s="1021"/>
    </row>
    <row r="58" spans="1:19" s="7" customFormat="1" ht="33" hidden="1" customHeight="1" x14ac:dyDescent="0.45">
      <c r="A58" s="1007">
        <v>15</v>
      </c>
      <c r="B58" s="29" t="s">
        <v>75</v>
      </c>
      <c r="C58" s="187"/>
      <c r="D58" s="1013"/>
      <c r="E58" s="1013"/>
      <c r="F58" s="998" t="str">
        <f>IF(M58&lt;&gt;"rumus",L58&amp;" x "&amp;M58&amp;" = "&amp;L58*M58,"rumus")</f>
        <v>rumus</v>
      </c>
      <c r="G58" s="1019">
        <f>'Reviewer Eksternal (LK&amp;GB)1'!K41</f>
        <v>0</v>
      </c>
      <c r="H58" s="998"/>
      <c r="I58" s="1013" t="s">
        <v>66</v>
      </c>
      <c r="J58" s="1006"/>
      <c r="K58" s="1020"/>
      <c r="L58" s="1015" t="str">
        <f>IF(J58="1 Penulis (ke-1)",100%,IF(J58="2 Penulis (ke-1)",60%,IF(J58="2 Penulis (ke-2)",40%,IF(J58="3 Penulis (ke-1)",60%,IF(J58="3 Penulis (ke-2)",20%,IF(J58="3 Penulis (ke-3)",20%,IF(J58="4 Penulis (ke-1)",60%,IF(J58="4 Penulis (ke-2)",13.3%,IF(J58="4 Penulis (ke-3)",13.3%,IF(J58="4 Penulis (ke-4)",13.3%,"rumus"))))))))))</f>
        <v>rumus</v>
      </c>
      <c r="M58" s="1015" t="str">
        <f>IF(K58&lt;&gt;"",VLOOKUP(K58,List!$E$2:$F$23,2,0),"rumus")</f>
        <v>rumus</v>
      </c>
      <c r="N58" s="1014">
        <f t="shared" ref="N58" si="13">IFERROR(L58*M58,0)</f>
        <v>0</v>
      </c>
      <c r="O58" s="1014" t="e">
        <f>VLOOKUP(K58,List!$E$2:$G$23,3,0)</f>
        <v>#N/A</v>
      </c>
      <c r="P58" s="1020" t="str">
        <f>IF(RIGHT(J58,6)="(ke-1)","Penulis Utama",IF(J58="","","Pendamping"))</f>
        <v/>
      </c>
      <c r="Q58" s="1020" t="str">
        <f>IF(RIGHT(K58,13)="terakreditasi","terakreditasi","tidak terakreditasi")</f>
        <v>tidak terakreditasi</v>
      </c>
    </row>
    <row r="59" spans="1:19" s="7" customFormat="1" ht="52.5" hidden="1" customHeight="1" x14ac:dyDescent="0.45">
      <c r="A59" s="1023"/>
      <c r="B59" s="29" t="s">
        <v>76</v>
      </c>
      <c r="C59" s="187"/>
      <c r="D59" s="1013"/>
      <c r="E59" s="1013"/>
      <c r="F59" s="999"/>
      <c r="G59" s="1013"/>
      <c r="H59" s="999"/>
      <c r="I59" s="1013"/>
      <c r="J59" s="1006"/>
      <c r="K59" s="1021"/>
      <c r="L59" s="1016"/>
      <c r="M59" s="1016"/>
      <c r="N59" s="1014"/>
      <c r="O59" s="1014"/>
      <c r="P59" s="1021"/>
      <c r="Q59" s="1021"/>
    </row>
    <row r="60" spans="1:19" s="7" customFormat="1" ht="29.25" hidden="1" customHeight="1" x14ac:dyDescent="0.45">
      <c r="A60" s="1007">
        <v>16</v>
      </c>
      <c r="B60" s="29" t="s">
        <v>75</v>
      </c>
      <c r="C60" s="187"/>
      <c r="D60" s="1013"/>
      <c r="E60" s="1013"/>
      <c r="F60" s="998" t="str">
        <f>IF(M60&lt;&gt;"rumus",L60&amp;" x "&amp;M60&amp;" = "&amp;L60*M60,"rumus")</f>
        <v>rumus</v>
      </c>
      <c r="G60" s="1019">
        <f>'Reviewer Eksternal (LK&amp;GB)1'!K43</f>
        <v>0</v>
      </c>
      <c r="H60" s="998"/>
      <c r="I60" s="1013" t="s">
        <v>66</v>
      </c>
      <c r="J60" s="1006"/>
      <c r="K60" s="1006"/>
      <c r="L60" s="1015" t="str">
        <f>IF(J60="1 Penulis (ke-1)",100%,IF(J60="2 Penulis (ke-1)",60%,IF(J60="2 Penulis (ke-2)",40%,IF(J60="3 Penulis (ke-1)",60%,IF(J60="3 Penulis (ke-2)",20%,IF(J60="3 Penulis (ke-3)",20%,IF(J60="4 Penulis (ke-1)",60%,IF(J60="4 Penulis (ke-2)",13.3%,IF(J60="4 Penulis (ke-3)",13.3%,IF(J60="4 Penulis (ke-4)",13.3%,"rumus"))))))))))</f>
        <v>rumus</v>
      </c>
      <c r="M60" s="1015" t="str">
        <f>IF(K60&lt;&gt;"",VLOOKUP(K60,List!$E$2:$F$23,2,0),"rumus")</f>
        <v>rumus</v>
      </c>
      <c r="N60" s="1014">
        <f t="shared" ref="N60" si="14">IFERROR(L60*M60,0)</f>
        <v>0</v>
      </c>
      <c r="O60" s="1014" t="e">
        <f>VLOOKUP(K60,List!$E$2:$G$23,3,0)</f>
        <v>#N/A</v>
      </c>
      <c r="P60" s="1020" t="str">
        <f>IF(RIGHT(J60,6)="(ke-1)","Penulis Utama",IF(J60="","","Pendamping"))</f>
        <v/>
      </c>
      <c r="Q60" s="1020" t="str">
        <f>IF(RIGHT(K60,13)="terakreditasi","terakreditasi","tidak terakreditasi")</f>
        <v>tidak terakreditasi</v>
      </c>
    </row>
    <row r="61" spans="1:19" s="7" customFormat="1" ht="52.5" hidden="1" customHeight="1" x14ac:dyDescent="0.45">
      <c r="A61" s="1023"/>
      <c r="B61" s="29" t="s">
        <v>76</v>
      </c>
      <c r="C61" s="187"/>
      <c r="D61" s="1013"/>
      <c r="E61" s="1013"/>
      <c r="F61" s="999"/>
      <c r="G61" s="1013"/>
      <c r="H61" s="999"/>
      <c r="I61" s="1013"/>
      <c r="J61" s="1006"/>
      <c r="K61" s="1006"/>
      <c r="L61" s="1016"/>
      <c r="M61" s="1016"/>
      <c r="N61" s="1014"/>
      <c r="O61" s="1014"/>
      <c r="P61" s="1021"/>
      <c r="Q61" s="1021"/>
    </row>
    <row r="62" spans="1:19" s="7" customFormat="1" ht="15" hidden="1" customHeight="1" x14ac:dyDescent="0.45">
      <c r="A62" s="1007">
        <v>17</v>
      </c>
      <c r="B62" s="29" t="s">
        <v>75</v>
      </c>
      <c r="C62" s="188"/>
      <c r="D62" s="1013"/>
      <c r="E62" s="1013"/>
      <c r="F62" s="998" t="str">
        <f>IF(M62&lt;&gt;"rumus",L62&amp;" x "&amp;M62&amp;" = "&amp;L62*M62,"rumus")</f>
        <v>rumus</v>
      </c>
      <c r="G62" s="1019">
        <f>'Reviewer Eksternal (LK&amp;GB)1'!K45</f>
        <v>0</v>
      </c>
      <c r="H62" s="998"/>
      <c r="I62" s="1013" t="s">
        <v>66</v>
      </c>
      <c r="J62" s="1006"/>
      <c r="K62" s="1006"/>
      <c r="L62" s="1015" t="str">
        <f>IF(J62="1 Penulis (ke-1)",100%,IF(J62="2 Penulis (ke-1)",60%,IF(J62="2 Penulis (ke-2)",40%,IF(J62="3 Penulis (ke-1)",60%,IF(J62="3 Penulis (ke-2)",20%,IF(J62="3 Penulis (ke-3)",20%,IF(J62="4 Penulis (ke-1)",60%,IF(J62="4 Penulis (ke-2)",13.3%,IF(J62="4 Penulis (ke-3)",13.3%,IF(J62="4 Penulis (ke-4)",13.3%,"rumus"))))))))))</f>
        <v>rumus</v>
      </c>
      <c r="M62" s="1015" t="str">
        <f>IF(K62&lt;&gt;"",VLOOKUP(K62,List!$E$2:$F$23,2,0),"rumus")</f>
        <v>rumus</v>
      </c>
      <c r="N62" s="1014">
        <f t="shared" ref="N62" si="15">IFERROR(L62*M62,0)</f>
        <v>0</v>
      </c>
      <c r="O62" s="1014" t="e">
        <f>VLOOKUP(K62,List!$E$2:$G$23,3,0)</f>
        <v>#N/A</v>
      </c>
      <c r="P62" s="1020" t="str">
        <f>IF(RIGHT(J62,6)="(ke-1)","Penulis Utama",IF(J62="","","Pendamping"))</f>
        <v/>
      </c>
      <c r="Q62" s="1020" t="str">
        <f>IF(RIGHT(K62,13)="terakreditasi","terakreditasi","tidak terakreditasi")</f>
        <v>tidak terakreditasi</v>
      </c>
    </row>
    <row r="63" spans="1:19" s="7" customFormat="1" ht="102.75" hidden="1" customHeight="1" x14ac:dyDescent="0.45">
      <c r="A63" s="1023"/>
      <c r="B63" s="29" t="s">
        <v>76</v>
      </c>
      <c r="C63" s="187"/>
      <c r="D63" s="1013"/>
      <c r="E63" s="1013"/>
      <c r="F63" s="999"/>
      <c r="G63" s="1013"/>
      <c r="H63" s="999"/>
      <c r="I63" s="1013"/>
      <c r="J63" s="1006"/>
      <c r="K63" s="1006"/>
      <c r="L63" s="1016"/>
      <c r="M63" s="1016"/>
      <c r="N63" s="1014"/>
      <c r="O63" s="1014"/>
      <c r="P63" s="1021"/>
      <c r="Q63" s="1021"/>
    </row>
    <row r="64" spans="1:19" s="7" customFormat="1" ht="15" hidden="1" customHeight="1" x14ac:dyDescent="0.45">
      <c r="A64" s="1007">
        <v>18</v>
      </c>
      <c r="B64" s="29" t="s">
        <v>75</v>
      </c>
      <c r="C64" s="188"/>
      <c r="D64" s="1013"/>
      <c r="E64" s="1013"/>
      <c r="F64" s="998" t="str">
        <f>IF(M64&lt;&gt;"rumus",L64&amp;" x "&amp;M64&amp;" = "&amp;L64*M64,"rumus")</f>
        <v>rumus</v>
      </c>
      <c r="G64" s="1019">
        <f>'Reviewer Eksternal (LK&amp;GB)1'!K47</f>
        <v>0</v>
      </c>
      <c r="H64" s="998"/>
      <c r="I64" s="1013" t="s">
        <v>66</v>
      </c>
      <c r="J64" s="1006"/>
      <c r="K64" s="1006"/>
      <c r="L64" s="1015" t="str">
        <f>IF(J64="1 Penulis (ke-1)",100%,IF(J64="2 Penulis (ke-1)",60%,IF(J64="2 Penulis (ke-2)",40%,IF(J64="3 Penulis (ke-1)",60%,IF(J64="3 Penulis (ke-2)",20%,IF(J64="3 Penulis (ke-3)",20%,IF(J64="4 Penulis (ke-1)",60%,IF(J64="4 Penulis (ke-2)",13.3%,IF(J64="4 Penulis (ke-3)",13.3%,IF(J64="4 Penulis (ke-4)",13.3%,"rumus"))))))))))</f>
        <v>rumus</v>
      </c>
      <c r="M64" s="1015" t="str">
        <f>IF(K64&lt;&gt;"",VLOOKUP(K64,List!$E$2:$F$23,2,0),"rumus")</f>
        <v>rumus</v>
      </c>
      <c r="N64" s="1014">
        <f t="shared" ref="N64" si="16">IFERROR(L64*M64,0)</f>
        <v>0</v>
      </c>
      <c r="O64" s="1014" t="e">
        <f>VLOOKUP(K64,List!$E$2:$G$23,3,0)</f>
        <v>#N/A</v>
      </c>
      <c r="P64" s="1020" t="str">
        <f>IF(RIGHT(J64,6)="(ke-1)","Penulis Utama",IF(J64="","","Pendamping"))</f>
        <v/>
      </c>
      <c r="Q64" s="1020" t="str">
        <f>IF(RIGHT(K64,13)="terakreditasi","terakreditasi","tidak terakreditasi")</f>
        <v>tidak terakreditasi</v>
      </c>
    </row>
    <row r="65" spans="1:19" s="7" customFormat="1" ht="91.5" hidden="1" customHeight="1" x14ac:dyDescent="0.45">
      <c r="A65" s="1023"/>
      <c r="B65" s="29" t="s">
        <v>76</v>
      </c>
      <c r="C65" s="187"/>
      <c r="D65" s="1013"/>
      <c r="E65" s="1013"/>
      <c r="F65" s="999"/>
      <c r="G65" s="1013"/>
      <c r="H65" s="999"/>
      <c r="I65" s="1013"/>
      <c r="J65" s="1006"/>
      <c r="K65" s="1006"/>
      <c r="L65" s="1016"/>
      <c r="M65" s="1016"/>
      <c r="N65" s="1014"/>
      <c r="O65" s="1014"/>
      <c r="P65" s="1021"/>
      <c r="Q65" s="1021"/>
    </row>
    <row r="66" spans="1:19" s="7" customFormat="1" ht="15" hidden="1" customHeight="1" x14ac:dyDescent="0.45">
      <c r="A66" s="1007">
        <v>19</v>
      </c>
      <c r="B66" s="29" t="s">
        <v>75</v>
      </c>
      <c r="C66" s="188"/>
      <c r="D66" s="1013"/>
      <c r="E66" s="1013"/>
      <c r="F66" s="998" t="str">
        <f>IF(M66&lt;&gt;"rumus",L66&amp;" x "&amp;M66&amp;" = "&amp;L66*M66,"rumus")</f>
        <v>rumus</v>
      </c>
      <c r="G66" s="1019">
        <f>'Reviewer Eksternal (LK&amp;GB)1'!K49</f>
        <v>0</v>
      </c>
      <c r="H66" s="998"/>
      <c r="I66" s="1013" t="s">
        <v>66</v>
      </c>
      <c r="J66" s="1006"/>
      <c r="K66" s="1006"/>
      <c r="L66" s="1015" t="str">
        <f>IF(J66="1 Penulis (ke-1)",100%,IF(J66="2 Penulis (ke-1)",60%,IF(J66="2 Penulis (ke-2)",40%,IF(J66="3 Penulis (ke-1)",60%,IF(J66="3 Penulis (ke-2)",20%,IF(J66="3 Penulis (ke-3)",20%,IF(J66="4 Penulis (ke-1)",60%,IF(J66="4 Penulis (ke-2)",13.3%,IF(J66="4 Penulis (ke-3)",13.3%,IF(J66="4 Penulis (ke-4)",13.3%,"rumus"))))))))))</f>
        <v>rumus</v>
      </c>
      <c r="M66" s="1015" t="str">
        <f>IF(K66&lt;&gt;"",VLOOKUP(K66,List!$E$2:$F$23,2,0),"rumus")</f>
        <v>rumus</v>
      </c>
      <c r="N66" s="1014">
        <f t="shared" ref="N66" si="17">IFERROR(L66*M66,0)</f>
        <v>0</v>
      </c>
      <c r="O66" s="1014" t="e">
        <f>VLOOKUP(K66,List!$E$2:$G$23,3,0)</f>
        <v>#N/A</v>
      </c>
      <c r="P66" s="1020" t="str">
        <f>IF(RIGHT(J66,6)="(ke-1)","Penulis Utama",IF(J66="","","Pendamping"))</f>
        <v/>
      </c>
      <c r="Q66" s="1020" t="str">
        <f>IF(RIGHT(K66,13)="terakreditasi","terakreditasi","tidak terakreditasi")</f>
        <v>tidak terakreditasi</v>
      </c>
    </row>
    <row r="67" spans="1:19" s="7" customFormat="1" ht="82.5" hidden="1" customHeight="1" x14ac:dyDescent="0.45">
      <c r="A67" s="1023"/>
      <c r="B67" s="29" t="s">
        <v>76</v>
      </c>
      <c r="C67" s="187"/>
      <c r="D67" s="1013"/>
      <c r="E67" s="1013"/>
      <c r="F67" s="999"/>
      <c r="G67" s="1013"/>
      <c r="H67" s="999"/>
      <c r="I67" s="1013"/>
      <c r="J67" s="1006"/>
      <c r="K67" s="1006"/>
      <c r="L67" s="1016"/>
      <c r="M67" s="1016"/>
      <c r="N67" s="1014"/>
      <c r="O67" s="1014"/>
      <c r="P67" s="1021"/>
      <c r="Q67" s="1021"/>
    </row>
    <row r="68" spans="1:19" s="7" customFormat="1" ht="15" hidden="1" customHeight="1" x14ac:dyDescent="0.45">
      <c r="A68" s="1007">
        <v>20</v>
      </c>
      <c r="B68" s="29" t="s">
        <v>75</v>
      </c>
      <c r="C68" s="188"/>
      <c r="D68" s="1013"/>
      <c r="E68" s="1013"/>
      <c r="F68" s="998" t="str">
        <f>IF(M68&lt;&gt;"rumus",L68&amp;" x "&amp;M68&amp;" = "&amp;L68*M68,"rumus")</f>
        <v>rumus</v>
      </c>
      <c r="G68" s="1019">
        <f>'Reviewer Eksternal (LK&amp;GB)1'!K51</f>
        <v>0</v>
      </c>
      <c r="H68" s="998"/>
      <c r="I68" s="1013" t="s">
        <v>66</v>
      </c>
      <c r="J68" s="1006"/>
      <c r="K68" s="1006"/>
      <c r="L68" s="1015" t="str">
        <f>IF(J68="1 Penulis (ke-1)",100%,IF(J68="2 Penulis (ke-1)",60%,IF(J68="2 Penulis (ke-2)",40%,IF(J68="3 Penulis (ke-1)",60%,IF(J68="3 Penulis (ke-2)",20%,IF(J68="3 Penulis (ke-3)",20%,IF(J68="4 Penulis (ke-1)",60%,IF(J68="4 Penulis (ke-2)",13.3%,IF(J68="4 Penulis (ke-3)",13.3%,IF(J68="4 Penulis (ke-4)",13.3%,"rumus"))))))))))</f>
        <v>rumus</v>
      </c>
      <c r="M68" s="1015" t="str">
        <f>IF(K68&lt;&gt;"",VLOOKUP(K68,List!$E$2:$F$23,2,0),"rumus")</f>
        <v>rumus</v>
      </c>
      <c r="N68" s="1014">
        <f t="shared" ref="N68" si="18">IFERROR(L68*M68,0)</f>
        <v>0</v>
      </c>
      <c r="O68" s="1014" t="e">
        <f>VLOOKUP(K68,List!$E$2:$G$23,3,0)</f>
        <v>#N/A</v>
      </c>
      <c r="P68" s="1020" t="str">
        <f>IF(RIGHT(J68,6)="(ke-1)","Penulis Utama",IF(J68="","","Pendamping"))</f>
        <v/>
      </c>
      <c r="Q68" s="1020" t="str">
        <f>IF(RIGHT(K68,13)="terakreditasi","terakreditasi","tidak terakreditasi")</f>
        <v>tidak terakreditasi</v>
      </c>
    </row>
    <row r="69" spans="1:19" s="7" customFormat="1" ht="86.25" hidden="1" customHeight="1" x14ac:dyDescent="0.45">
      <c r="A69" s="1023"/>
      <c r="B69" s="29" t="s">
        <v>76</v>
      </c>
      <c r="C69" s="187"/>
      <c r="D69" s="1013"/>
      <c r="E69" s="1013"/>
      <c r="F69" s="999"/>
      <c r="G69" s="1013"/>
      <c r="H69" s="999"/>
      <c r="I69" s="1013"/>
      <c r="J69" s="1006"/>
      <c r="K69" s="1006"/>
      <c r="L69" s="1016"/>
      <c r="M69" s="1016"/>
      <c r="N69" s="1014"/>
      <c r="O69" s="1014"/>
      <c r="P69" s="1021"/>
      <c r="Q69" s="1021"/>
    </row>
    <row r="70" spans="1:19" s="7" customFormat="1" ht="27.75" customHeight="1" x14ac:dyDescent="0.45">
      <c r="A70" s="779" t="s">
        <v>785</v>
      </c>
      <c r="B70" s="780"/>
      <c r="C70" s="780"/>
      <c r="D70" s="780"/>
      <c r="E70" s="780"/>
      <c r="F70" s="780"/>
      <c r="G70" s="780"/>
      <c r="H70" s="780"/>
      <c r="I70" s="781"/>
      <c r="J70" s="776"/>
      <c r="K70" s="776"/>
      <c r="L70" s="777"/>
      <c r="M70" s="777"/>
      <c r="N70" s="778"/>
      <c r="O70" s="577"/>
    </row>
    <row r="71" spans="1:19" s="7" customFormat="1" ht="26.25" x14ac:dyDescent="0.45">
      <c r="A71" s="1007">
        <v>5</v>
      </c>
      <c r="B71" s="835" t="s">
        <v>75</v>
      </c>
      <c r="C71" s="836" t="s">
        <v>942</v>
      </c>
      <c r="D71" s="1003" t="s">
        <v>958</v>
      </c>
      <c r="E71" s="1003" t="s">
        <v>804</v>
      </c>
      <c r="F71" s="998" t="str">
        <f>IF(M71&lt;&gt;"rumus",L71&amp;" x "&amp;M71&amp;" = "&amp;L71*M71,"rumus")</f>
        <v>0,1 x 15 = 1,5</v>
      </c>
      <c r="G71" s="1003" t="s">
        <v>935</v>
      </c>
      <c r="H71" s="1003" t="s">
        <v>936</v>
      </c>
      <c r="I71" s="1003" t="s">
        <v>1045</v>
      </c>
      <c r="J71" s="1002" t="s">
        <v>940</v>
      </c>
      <c r="K71" s="1002" t="s">
        <v>289</v>
      </c>
      <c r="L71" s="1015">
        <f>0.4/4</f>
        <v>0.1</v>
      </c>
      <c r="M71" s="1015">
        <f>IF(K71&lt;&gt;"",VLOOKUP(K71,List!$E$2:$F$23,2,0),"rumus")</f>
        <v>15</v>
      </c>
      <c r="N71" s="1014">
        <f t="shared" ref="N71" si="19">IFERROR(L71*M71,0)</f>
        <v>1.5</v>
      </c>
      <c r="O71" s="1014" t="str">
        <f>VLOOKUP(K71,List!$E$2:$G$23,3,0)</f>
        <v>A.1.c.1.a</v>
      </c>
      <c r="P71" s="1020" t="str">
        <f>IF(RIGHT(J71,6)="(ke-1)","Penulis Utama",IF(J71="","","Pendamping"))</f>
        <v>Pendamping</v>
      </c>
      <c r="S71" s="845"/>
    </row>
    <row r="72" spans="1:19" s="7" customFormat="1" ht="52.5" x14ac:dyDescent="0.45">
      <c r="A72" s="1008"/>
      <c r="B72" s="835" t="s">
        <v>76</v>
      </c>
      <c r="C72" s="836" t="s">
        <v>944</v>
      </c>
      <c r="D72" s="1003"/>
      <c r="E72" s="1003"/>
      <c r="F72" s="999"/>
      <c r="G72" s="1003"/>
      <c r="H72" s="1003"/>
      <c r="I72" s="1003"/>
      <c r="J72" s="1002"/>
      <c r="K72" s="1002"/>
      <c r="L72" s="1016"/>
      <c r="M72" s="1016"/>
      <c r="N72" s="1014"/>
      <c r="O72" s="1014"/>
      <c r="P72" s="1021"/>
    </row>
    <row r="73" spans="1:19" s="7" customFormat="1" ht="26.25" x14ac:dyDescent="0.45">
      <c r="A73" s="1007">
        <v>6</v>
      </c>
      <c r="B73" s="837" t="s">
        <v>75</v>
      </c>
      <c r="C73" s="838" t="s">
        <v>946</v>
      </c>
      <c r="D73" s="1003" t="s">
        <v>959</v>
      </c>
      <c r="E73" s="1003" t="s">
        <v>804</v>
      </c>
      <c r="F73" s="998" t="str">
        <f>IF(M73&lt;&gt;"rumus",L73&amp;" x "&amp;M73&amp;" = "&amp;L73*M73,"rumus")</f>
        <v>0,133 x 15 = 1,995</v>
      </c>
      <c r="G73" s="1003" t="s">
        <v>935</v>
      </c>
      <c r="H73" s="1003" t="s">
        <v>936</v>
      </c>
      <c r="I73" s="1003" t="s">
        <v>1046</v>
      </c>
      <c r="J73" s="1002" t="s">
        <v>940</v>
      </c>
      <c r="K73" s="1002" t="s">
        <v>289</v>
      </c>
      <c r="L73" s="1015">
        <f>IF(J73="1 Penulis (ke-1)",100%,IF(J73="2 Penulis (ke-1)",60%,IF(J73="2 Penulis (ke-2)",40%,IF(J73="3 Penulis (ke-1)",60%,IF(J73="3 Penulis (ke-2)",20%,IF(J73="3 Penulis (ke-3)",20%,IF(J73="4 Penulis (ke-1)",60%,IF(J73="4 Penulis (ke-2)",13.3%,IF(J73="4 Penulis (ke-3)",13.3%,IF(J73="4 Penulis (ke-4)",13.3%,"rumus"))))))))))</f>
        <v>0.13300000000000001</v>
      </c>
      <c r="M73" s="1015">
        <f>IF(K73&lt;&gt;"",VLOOKUP(K73,List!$E$2:$F$23,2,0),"rumus")</f>
        <v>15</v>
      </c>
      <c r="N73" s="1014">
        <f t="shared" ref="N73" si="20">IFERROR(L73*M73,0)</f>
        <v>1.9950000000000001</v>
      </c>
      <c r="O73" s="1014" t="str">
        <f>VLOOKUP(K73,List!$E$2:$G$23,3,0)</f>
        <v>A.1.c.1.a</v>
      </c>
      <c r="P73" s="1020" t="str">
        <f>IF(RIGHT(J73,6)="(ke-1)","Penulis Utama",IF(J73="","","Pendamping"))</f>
        <v>Pendamping</v>
      </c>
      <c r="S73" s="845"/>
    </row>
    <row r="74" spans="1:19" s="7" customFormat="1" ht="80.25" customHeight="1" x14ac:dyDescent="0.45">
      <c r="A74" s="1008"/>
      <c r="B74" s="837" t="s">
        <v>76</v>
      </c>
      <c r="C74" s="838" t="s">
        <v>947</v>
      </c>
      <c r="D74" s="1003"/>
      <c r="E74" s="1003"/>
      <c r="F74" s="999"/>
      <c r="G74" s="1003"/>
      <c r="H74" s="1003"/>
      <c r="I74" s="1003"/>
      <c r="J74" s="1002"/>
      <c r="K74" s="1002"/>
      <c r="L74" s="1016"/>
      <c r="M74" s="1016"/>
      <c r="N74" s="1014"/>
      <c r="O74" s="1014"/>
      <c r="P74" s="1021"/>
    </row>
    <row r="75" spans="1:19" s="7" customFormat="1" ht="26.25" x14ac:dyDescent="0.45">
      <c r="A75" s="1007">
        <v>7</v>
      </c>
      <c r="B75" s="839" t="s">
        <v>75</v>
      </c>
      <c r="C75" s="840" t="s">
        <v>950</v>
      </c>
      <c r="D75" s="1003" t="s">
        <v>945</v>
      </c>
      <c r="E75" s="1003" t="s">
        <v>804</v>
      </c>
      <c r="F75" s="998" t="str">
        <f>IF(M75&lt;&gt;"rumus",L75&amp;" x "&amp;M75&amp;" = "&amp;L75*M75,"rumus")</f>
        <v>0,6 x 15 = 9</v>
      </c>
      <c r="G75" s="1003" t="s">
        <v>935</v>
      </c>
      <c r="H75" s="1003" t="s">
        <v>936</v>
      </c>
      <c r="I75" s="1003" t="s">
        <v>1047</v>
      </c>
      <c r="J75" s="1002" t="s">
        <v>937</v>
      </c>
      <c r="K75" s="1002" t="s">
        <v>289</v>
      </c>
      <c r="L75" s="1015">
        <f>IF(J75="1 Penulis (ke-1)",100%,IF(J75="2 Penulis (ke-1)",60%,IF(J75="2 Penulis (ke-2)",40%,IF(J75="3 Penulis (ke-1)",60%,IF(J75="3 Penulis (ke-2)",20%,IF(J75="3 Penulis (ke-3)",20%,IF(J75="4 Penulis (ke-1)",60%,IF(J75="4 Penulis (ke-2)",13.3%,IF(J75="4 Penulis (ke-3)",13.3%,IF(J75="4 Penulis (ke-4)",13.3%,"rumus"))))))))))</f>
        <v>0.6</v>
      </c>
      <c r="M75" s="1015">
        <f>IF(K75&lt;&gt;"",VLOOKUP(K75,List!$E$2:$F$23,2,0),"rumus")</f>
        <v>15</v>
      </c>
      <c r="N75" s="1014">
        <f t="shared" ref="N75" si="21">IFERROR(L75*M75,0)</f>
        <v>9</v>
      </c>
      <c r="O75" s="1014" t="str">
        <f>VLOOKUP(K75,List!$E$2:$G$23,3,0)</f>
        <v>A.1.c.1.a</v>
      </c>
      <c r="P75" s="1020" t="str">
        <f>IF(RIGHT(J75,6)="(ke-1)","Penulis Utama",IF(J75="","","Pendamping"))</f>
        <v>Penulis Utama</v>
      </c>
      <c r="S75" s="845"/>
    </row>
    <row r="76" spans="1:19" s="7" customFormat="1" ht="65.650000000000006" x14ac:dyDescent="0.45">
      <c r="A76" s="1008"/>
      <c r="B76" s="839" t="s">
        <v>76</v>
      </c>
      <c r="C76" s="840" t="s">
        <v>951</v>
      </c>
      <c r="D76" s="1003"/>
      <c r="E76" s="1003"/>
      <c r="F76" s="999"/>
      <c r="G76" s="1003"/>
      <c r="H76" s="1003"/>
      <c r="I76" s="1003"/>
      <c r="J76" s="1002"/>
      <c r="K76" s="1002"/>
      <c r="L76" s="1016"/>
      <c r="M76" s="1016"/>
      <c r="N76" s="1014"/>
      <c r="O76" s="1014"/>
      <c r="P76" s="1021"/>
    </row>
    <row r="77" spans="1:19" s="7" customFormat="1" ht="28.5" customHeight="1" x14ac:dyDescent="0.45">
      <c r="A77" s="1007">
        <v>8</v>
      </c>
      <c r="B77" s="839" t="s">
        <v>75</v>
      </c>
      <c r="C77" s="840" t="s">
        <v>970</v>
      </c>
      <c r="D77" s="1003" t="s">
        <v>957</v>
      </c>
      <c r="E77" s="1003" t="s">
        <v>804</v>
      </c>
      <c r="F77" s="998" t="str">
        <f>IF(M77&lt;&gt;"rumus",L77&amp;" x "&amp;M77&amp;" = "&amp;L77*M77,"rumus")</f>
        <v>0,133 x 15 = 1,995</v>
      </c>
      <c r="G77" s="1003" t="s">
        <v>935</v>
      </c>
      <c r="H77" s="1003" t="s">
        <v>936</v>
      </c>
      <c r="I77" s="1003" t="s">
        <v>1049</v>
      </c>
      <c r="J77" s="1002" t="s">
        <v>940</v>
      </c>
      <c r="K77" s="1002" t="s">
        <v>289</v>
      </c>
      <c r="L77" s="1015">
        <f>IF(J77="1 Penulis (ke-1)",100%,IF(J77="2 Penulis (ke-1)",60%,IF(J77="2 Penulis (ke-2)",40%,IF(J77="3 Penulis (ke-1)",60%,IF(J77="3 Penulis (ke-2)",20%,IF(J77="3 Penulis (ke-3)",20%,IF(J77="4 Penulis (ke-1)",60%,IF(J77="4 Penulis (ke-2)",13.3%,IF(J77="4 Penulis (ke-3)",13.3%,IF(J77="4 Penulis (ke-4)",13.3%,"rumus"))))))))))</f>
        <v>0.13300000000000001</v>
      </c>
      <c r="M77" s="1015">
        <f>IF(K77&lt;&gt;"",VLOOKUP(K77,List!$E$2:$F$23,2,0),"rumus")</f>
        <v>15</v>
      </c>
      <c r="N77" s="1014">
        <f t="shared" ref="N77" si="22">IFERROR(L77*M77,0)</f>
        <v>1.9950000000000001</v>
      </c>
      <c r="O77" s="1014" t="str">
        <f>VLOOKUP(K77,List!$E$2:$G$23,3,0)</f>
        <v>A.1.c.1.a</v>
      </c>
      <c r="P77" s="1020" t="str">
        <f>IF(RIGHT(J77,6)="(ke-1)","Penulis Utama",IF(J77="","","Pendamping"))</f>
        <v>Pendamping</v>
      </c>
      <c r="S77" s="845"/>
    </row>
    <row r="78" spans="1:19" s="7" customFormat="1" ht="78.75" x14ac:dyDescent="0.45">
      <c r="A78" s="1008"/>
      <c r="B78" s="839" t="s">
        <v>76</v>
      </c>
      <c r="C78" s="840" t="s">
        <v>956</v>
      </c>
      <c r="D78" s="1003"/>
      <c r="E78" s="1003"/>
      <c r="F78" s="999"/>
      <c r="G78" s="1003"/>
      <c r="H78" s="1003"/>
      <c r="I78" s="1003"/>
      <c r="J78" s="1002"/>
      <c r="K78" s="1002"/>
      <c r="L78" s="1016"/>
      <c r="M78" s="1016"/>
      <c r="N78" s="1014"/>
      <c r="O78" s="1014"/>
      <c r="P78" s="1021"/>
    </row>
    <row r="79" spans="1:19" s="7" customFormat="1" ht="15" hidden="1" customHeight="1" x14ac:dyDescent="0.45">
      <c r="A79" s="1007">
        <v>9</v>
      </c>
      <c r="B79" s="29" t="s">
        <v>75</v>
      </c>
      <c r="C79" s="188"/>
      <c r="D79" s="1013"/>
      <c r="E79" s="1013"/>
      <c r="F79" s="998" t="str">
        <f>IF(M79&lt;&gt;"rumus",L79&amp;" x "&amp;M79&amp;" = "&amp;L79*M79,"rumus")</f>
        <v>rumus</v>
      </c>
      <c r="G79" s="1000">
        <f>'Reviewer Eksternal (LK&amp;GB)1'!K64</f>
        <v>0</v>
      </c>
      <c r="H79" s="998"/>
      <c r="I79" s="1013" t="s">
        <v>66</v>
      </c>
      <c r="J79" s="1002"/>
      <c r="K79" s="1002"/>
      <c r="L79" s="1015" t="str">
        <f>IF(J79="1 Penulis (ke-1)",100%,IF(J79="2 Penulis (ke-1)",60%,IF(J79="2 Penulis (ke-2)",40%,IF(J79="3 Penulis (ke-1)",60%,IF(J79="3 Penulis (ke-2)",20%,IF(J79="3 Penulis (ke-3)",20%,IF(J79="4 Penulis (ke-1)",60%,IF(J79="4 Penulis (ke-2)",13.3%,IF(J79="4 Penulis (ke-3)",13.3%,IF(J79="4 Penulis (ke-4)",13.3%,"rumus"))))))))))</f>
        <v>rumus</v>
      </c>
      <c r="M79" s="1015" t="str">
        <f>IF(K79&lt;&gt;"",VLOOKUP(K79,List!$E$2:$F$23,2,0),"rumus")</f>
        <v>rumus</v>
      </c>
      <c r="N79" s="1014">
        <f t="shared" ref="N79" si="23">IFERROR(L79*M79,0)</f>
        <v>0</v>
      </c>
      <c r="O79" s="1014" t="e">
        <f>VLOOKUP(K79,List!$E$2:$G$23,3,0)</f>
        <v>#N/A</v>
      </c>
      <c r="P79" s="1020" t="str">
        <f>IF(RIGHT(J79,6)="(ke-1)","Penulis Utama",IF(J79="","","Pendamping"))</f>
        <v/>
      </c>
    </row>
    <row r="80" spans="1:19" s="7" customFormat="1" ht="78.75" hidden="1" x14ac:dyDescent="0.45">
      <c r="A80" s="1023"/>
      <c r="B80" s="29" t="s">
        <v>76</v>
      </c>
      <c r="C80" s="852" t="s">
        <v>956</v>
      </c>
      <c r="D80" s="1013"/>
      <c r="E80" s="1013"/>
      <c r="F80" s="999"/>
      <c r="G80" s="1001"/>
      <c r="H80" s="999"/>
      <c r="I80" s="1013"/>
      <c r="J80" s="1002"/>
      <c r="K80" s="1002"/>
      <c r="L80" s="1016"/>
      <c r="M80" s="1016"/>
      <c r="N80" s="1014"/>
      <c r="O80" s="1014"/>
      <c r="P80" s="1021"/>
    </row>
    <row r="81" spans="1:19" s="7" customFormat="1" ht="30" hidden="1" customHeight="1" x14ac:dyDescent="0.45">
      <c r="A81" s="1007">
        <v>27</v>
      </c>
      <c r="B81" s="29" t="s">
        <v>75</v>
      </c>
      <c r="C81" s="187"/>
      <c r="D81" s="1013"/>
      <c r="E81" s="1013"/>
      <c r="F81" s="998" t="str">
        <f>IF(M81&lt;&gt;"rumus",L81&amp;" x "&amp;M81&amp;" = "&amp;L81*M81,"rumus")</f>
        <v>rumus</v>
      </c>
      <c r="G81" s="1000">
        <f>'Reviewer Eksternal (LK&amp;GB)1'!K66</f>
        <v>0</v>
      </c>
      <c r="H81" s="998"/>
      <c r="I81" s="1013" t="s">
        <v>66</v>
      </c>
      <c r="J81" s="1006"/>
      <c r="K81" s="1006"/>
      <c r="L81" s="1015" t="str">
        <f>IF(J81="1 Penulis (ke-1)",100%,IF(J81="2 Penulis (ke-1)",60%,IF(J81="2 Penulis (ke-2)",40%,IF(J81="3 Penulis (ke-1)",60%,IF(J81="3 Penulis (ke-2)",20%,IF(J81="3 Penulis (ke-3)",20%,IF(J81="4 Penulis (ke-1)",60%,IF(J81="4 Penulis (ke-2)",13.3%,IF(J81="4 Penulis (ke-3)",13.3%,IF(J81="4 Penulis (ke-4)",13.3%,"rumus"))))))))))</f>
        <v>rumus</v>
      </c>
      <c r="M81" s="1015" t="str">
        <f>IF(K81&lt;&gt;"",VLOOKUP(K81,List!$E$2:$F$23,2,0),"rumus")</f>
        <v>rumus</v>
      </c>
      <c r="N81" s="1014">
        <f t="shared" ref="N81" si="24">IFERROR(L81*M81,0)</f>
        <v>0</v>
      </c>
      <c r="O81" s="1014" t="e">
        <f>VLOOKUP(K81,List!$E$2:$G$23,3,0)</f>
        <v>#N/A</v>
      </c>
      <c r="P81" s="1020" t="str">
        <f>IF(RIGHT(J81,6)="(ke-1)","Penulis Utama",IF(J81="","","Pendamping"))</f>
        <v/>
      </c>
    </row>
    <row r="82" spans="1:19" s="7" customFormat="1" ht="67.5" hidden="1" customHeight="1" x14ac:dyDescent="0.45">
      <c r="A82" s="1023"/>
      <c r="B82" s="29" t="s">
        <v>76</v>
      </c>
      <c r="C82" s="187"/>
      <c r="D82" s="1013"/>
      <c r="E82" s="1013"/>
      <c r="F82" s="999"/>
      <c r="G82" s="1001"/>
      <c r="H82" s="999"/>
      <c r="I82" s="1013"/>
      <c r="J82" s="1006"/>
      <c r="K82" s="1006"/>
      <c r="L82" s="1016"/>
      <c r="M82" s="1016"/>
      <c r="N82" s="1014"/>
      <c r="O82" s="1014"/>
      <c r="P82" s="1021"/>
    </row>
    <row r="83" spans="1:19" s="7" customFormat="1" ht="29.25" hidden="1" customHeight="1" x14ac:dyDescent="0.45">
      <c r="A83" s="1007">
        <v>28</v>
      </c>
      <c r="B83" s="29" t="s">
        <v>75</v>
      </c>
      <c r="C83" s="187"/>
      <c r="D83" s="1013"/>
      <c r="E83" s="1013"/>
      <c r="F83" s="998" t="str">
        <f>IF(M83&lt;&gt;"rumus",L83&amp;" x "&amp;M83&amp;" = "&amp;L83*M83,"rumus")</f>
        <v>rumus</v>
      </c>
      <c r="G83" s="1000">
        <f>'Reviewer Eksternal (LK&amp;GB)1'!K68</f>
        <v>0</v>
      </c>
      <c r="H83" s="998"/>
      <c r="I83" s="1013" t="s">
        <v>66</v>
      </c>
      <c r="J83" s="1006"/>
      <c r="K83" s="1006"/>
      <c r="L83" s="1015" t="str">
        <f>IF(J83="1 Penulis (ke-1)",100%,IF(J83="2 Penulis (ke-1)",60%,IF(J83="2 Penulis (ke-2)",40%,IF(J83="3 Penulis (ke-1)",60%,IF(J83="3 Penulis (ke-2)",20%,IF(J83="3 Penulis (ke-3)",20%,IF(J83="4 Penulis (ke-1)",60%,IF(J83="4 Penulis (ke-2)",13.3%,IF(J83="4 Penulis (ke-3)",13.3%,IF(J83="4 Penulis (ke-4)",13.3%,"rumus"))))))))))</f>
        <v>rumus</v>
      </c>
      <c r="M83" s="1015" t="str">
        <f>IF(K83&lt;&gt;"",VLOOKUP(K83,List!$E$2:$F$23,2,0),"rumus")</f>
        <v>rumus</v>
      </c>
      <c r="N83" s="1014">
        <f t="shared" ref="N83" si="25">IFERROR(L83*M83,0)</f>
        <v>0</v>
      </c>
      <c r="O83" s="1014" t="e">
        <f>VLOOKUP(K83,List!$E$2:$G$23,3,0)</f>
        <v>#N/A</v>
      </c>
      <c r="P83" s="1020" t="str">
        <f>IF(RIGHT(J83,6)="(ke-1)","Penulis Utama",IF(J83="","","Pendamping"))</f>
        <v/>
      </c>
    </row>
    <row r="84" spans="1:19" s="7" customFormat="1" ht="52.5" hidden="1" customHeight="1" x14ac:dyDescent="0.45">
      <c r="A84" s="1023"/>
      <c r="B84" s="29" t="s">
        <v>76</v>
      </c>
      <c r="C84" s="187"/>
      <c r="D84" s="1013"/>
      <c r="E84" s="1013"/>
      <c r="F84" s="999"/>
      <c r="G84" s="1001"/>
      <c r="H84" s="999"/>
      <c r="I84" s="1013"/>
      <c r="J84" s="1006"/>
      <c r="K84" s="1006"/>
      <c r="L84" s="1016"/>
      <c r="M84" s="1016"/>
      <c r="N84" s="1014"/>
      <c r="O84" s="1014"/>
      <c r="P84" s="1021"/>
    </row>
    <row r="85" spans="1:19" s="7" customFormat="1" ht="33.75" hidden="1" customHeight="1" x14ac:dyDescent="0.45">
      <c r="A85" s="1007">
        <v>29</v>
      </c>
      <c r="B85" s="29" t="s">
        <v>75</v>
      </c>
      <c r="C85" s="187"/>
      <c r="D85" s="1013"/>
      <c r="E85" s="1013"/>
      <c r="F85" s="998" t="str">
        <f>IF(M85&lt;&gt;"rumus",L85&amp;" x "&amp;M85&amp;" = "&amp;L85*M85,"rumus")</f>
        <v>rumus</v>
      </c>
      <c r="G85" s="1000">
        <f>'Reviewer Eksternal (LK&amp;GB)1'!K70</f>
        <v>0</v>
      </c>
      <c r="H85" s="998"/>
      <c r="I85" s="1013" t="s">
        <v>66</v>
      </c>
      <c r="J85" s="1006"/>
      <c r="K85" s="1006"/>
      <c r="L85" s="1015" t="str">
        <f>IF(J85="1 Penulis (ke-1)",100%,IF(J85="2 Penulis (ke-1)",60%,IF(J85="2 Penulis (ke-2)",40%,IF(J85="3 Penulis (ke-1)",60%,IF(J85="3 Penulis (ke-2)",20%,IF(J85="3 Penulis (ke-3)",20%,IF(J85="4 Penulis (ke-1)",60%,IF(J85="4 Penulis (ke-2)",13.3%,IF(J85="4 Penulis (ke-3)",13.3%,IF(J85="4 Penulis (ke-4)",13.3%,"rumus"))))))))))</f>
        <v>rumus</v>
      </c>
      <c r="M85" s="1015" t="str">
        <f>IF(K85&lt;&gt;"",VLOOKUP(K85,List!$E$2:$F$23,2,0),"rumus")</f>
        <v>rumus</v>
      </c>
      <c r="N85" s="1014">
        <f t="shared" ref="N85" si="26">IFERROR(L85*M85,0)</f>
        <v>0</v>
      </c>
      <c r="O85" s="1014" t="e">
        <f>VLOOKUP(K85,List!$E$2:$G$23,3,0)</f>
        <v>#N/A</v>
      </c>
      <c r="P85" s="1020" t="str">
        <f>IF(RIGHT(J85,6)="(ke-1)","Penulis Utama",IF(J85="","","Pendamping"))</f>
        <v/>
      </c>
    </row>
    <row r="86" spans="1:19" s="7" customFormat="1" ht="72.75" hidden="1" customHeight="1" x14ac:dyDescent="0.45">
      <c r="A86" s="1023"/>
      <c r="B86" s="29" t="s">
        <v>76</v>
      </c>
      <c r="C86" s="187"/>
      <c r="D86" s="1013"/>
      <c r="E86" s="1013"/>
      <c r="F86" s="999"/>
      <c r="G86" s="1001"/>
      <c r="H86" s="999"/>
      <c r="I86" s="1013"/>
      <c r="J86" s="1006"/>
      <c r="K86" s="1006"/>
      <c r="L86" s="1016"/>
      <c r="M86" s="1016"/>
      <c r="N86" s="1014"/>
      <c r="O86" s="1014"/>
      <c r="P86" s="1021"/>
    </row>
    <row r="87" spans="1:19" s="7" customFormat="1" ht="26.25" hidden="1" customHeight="1" x14ac:dyDescent="0.45">
      <c r="A87" s="1007">
        <v>30</v>
      </c>
      <c r="B87" s="29" t="s">
        <v>75</v>
      </c>
      <c r="C87" s="187"/>
      <c r="D87" s="1013"/>
      <c r="E87" s="1013"/>
      <c r="F87" s="998" t="str">
        <f>IF(M87&lt;&gt;"rumus",L87&amp;" x "&amp;M87&amp;" = "&amp;L87*M87,"rumus")</f>
        <v>rumus</v>
      </c>
      <c r="G87" s="1000">
        <f>'Reviewer Eksternal (LK&amp;GB)1'!K72</f>
        <v>0</v>
      </c>
      <c r="H87" s="998"/>
      <c r="I87" s="1013" t="s">
        <v>66</v>
      </c>
      <c r="J87" s="1006"/>
      <c r="K87" s="1006"/>
      <c r="L87" s="1015" t="str">
        <f>IF(J87="1 Penulis (ke-1)",100%,IF(J87="2 Penulis (ke-1)",60%,IF(J87="2 Penulis (ke-2)",40%,IF(J87="3 Penulis (ke-1)",60%,IF(J87="3 Penulis (ke-2)",20%,IF(J87="3 Penulis (ke-3)",20%,IF(J87="4 Penulis (ke-1)",60%,IF(J87="4 Penulis (ke-2)",13.3%,IF(J87="4 Penulis (ke-3)",13.3%,IF(J87="4 Penulis (ke-4)",13.3%,"rumus"))))))))))</f>
        <v>rumus</v>
      </c>
      <c r="M87" s="1015" t="str">
        <f>IF(K87&lt;&gt;"",VLOOKUP(K87,List!$E$2:$F$23,2,0),"rumus")</f>
        <v>rumus</v>
      </c>
      <c r="N87" s="1014">
        <f t="shared" ref="N87" si="27">IFERROR(L87*M87,0)</f>
        <v>0</v>
      </c>
      <c r="O87" s="1014" t="e">
        <f>VLOOKUP(K87,List!$E$2:$G$23,3,0)</f>
        <v>#N/A</v>
      </c>
      <c r="P87" s="1020" t="str">
        <f>IF(RIGHT(J87,6)="(ke-1)","Penulis Utama",IF(J87="","","Pendamping"))</f>
        <v/>
      </c>
    </row>
    <row r="88" spans="1:19" s="7" customFormat="1" ht="52.5" hidden="1" customHeight="1" x14ac:dyDescent="0.45">
      <c r="A88" s="1023"/>
      <c r="B88" s="29" t="s">
        <v>76</v>
      </c>
      <c r="C88" s="187"/>
      <c r="D88" s="1013"/>
      <c r="E88" s="1013"/>
      <c r="F88" s="999"/>
      <c r="G88" s="1001"/>
      <c r="H88" s="999"/>
      <c r="I88" s="1013"/>
      <c r="J88" s="1006"/>
      <c r="K88" s="1006"/>
      <c r="L88" s="1016"/>
      <c r="M88" s="1016"/>
      <c r="N88" s="1014"/>
      <c r="O88" s="1014"/>
      <c r="P88" s="1021"/>
    </row>
    <row r="89" spans="1:19" s="7" customFormat="1" ht="27.75" customHeight="1" x14ac:dyDescent="0.45">
      <c r="A89" s="779" t="s">
        <v>786</v>
      </c>
      <c r="B89" s="780"/>
      <c r="C89" s="780"/>
      <c r="D89" s="780"/>
      <c r="E89" s="780"/>
      <c r="F89" s="780"/>
      <c r="G89" s="780"/>
      <c r="H89" s="780"/>
      <c r="I89" s="781"/>
      <c r="J89" s="776"/>
      <c r="K89" s="776"/>
      <c r="L89" s="777"/>
      <c r="M89" s="777"/>
      <c r="N89" s="778"/>
      <c r="O89" s="577"/>
    </row>
    <row r="90" spans="1:19" s="7" customFormat="1" ht="26.25" x14ac:dyDescent="0.45">
      <c r="A90" s="1007">
        <v>9</v>
      </c>
      <c r="B90" s="841" t="s">
        <v>75</v>
      </c>
      <c r="C90" s="842" t="s">
        <v>952</v>
      </c>
      <c r="D90" s="1003" t="s">
        <v>953</v>
      </c>
      <c r="E90" s="1003" t="s">
        <v>805</v>
      </c>
      <c r="F90" s="998" t="str">
        <f>IF(M90&lt;&gt;"rumus",L90&amp;" x "&amp;M90&amp;" = "&amp;L90*M90,"rumus")</f>
        <v>0,6 x 10 = 6</v>
      </c>
      <c r="G90" s="1000">
        <f>'Reviewer Eksternal (LK&amp;GB)1'!K75</f>
        <v>0</v>
      </c>
      <c r="H90" s="1003" t="s">
        <v>936</v>
      </c>
      <c r="I90" s="1003" t="s">
        <v>1050</v>
      </c>
      <c r="J90" s="1002" t="s">
        <v>955</v>
      </c>
      <c r="K90" s="1002" t="s">
        <v>290</v>
      </c>
      <c r="L90" s="1015">
        <f>IF(J90="1 Penulis (ke-1)",100%,IF(J90="2 Penulis (ke-1)",60%,IF(J90="2 Penulis (ke-2)",40%,IF(J90="3 Penulis (ke-1)",60%,IF(J90="3 Penulis (ke-2)",20%,IF(J90="3 Penulis (ke-3)",20%,IF(J90="4 Penulis (ke-1)",60%,IF(J90="4 Penulis (ke-2)",13.3%,IF(J90="4 Penulis (ke-3)",13.3%,IF(J90="4 Penulis (ke-4)",13.3%,"rumus"))))))))))</f>
        <v>0.6</v>
      </c>
      <c r="M90" s="1015">
        <f>IF(K90&lt;&gt;"",VLOOKUP(K90,List!$E$2:$F$23,2,0),"rumus")</f>
        <v>10</v>
      </c>
      <c r="N90" s="1014">
        <f t="shared" ref="N90" si="28">IFERROR(L90*M90,0)</f>
        <v>6</v>
      </c>
      <c r="O90" s="1014" t="str">
        <f>VLOOKUP(K90,List!$E$2:$G$23,3,0)</f>
        <v>A.1.c.1.b</v>
      </c>
      <c r="P90" s="1020" t="str">
        <f>IF(RIGHT(J90,6)="(ke-1)","Penulis Utama",IF(J90="","","Pendamping"))</f>
        <v>Penulis Utama</v>
      </c>
      <c r="S90" s="845"/>
    </row>
    <row r="91" spans="1:19" s="7" customFormat="1" ht="65.650000000000006" x14ac:dyDescent="0.45">
      <c r="A91" s="1008"/>
      <c r="B91" s="841" t="s">
        <v>76</v>
      </c>
      <c r="C91" s="842" t="s">
        <v>954</v>
      </c>
      <c r="D91" s="1003"/>
      <c r="E91" s="1003"/>
      <c r="F91" s="999"/>
      <c r="G91" s="1001"/>
      <c r="H91" s="1003"/>
      <c r="I91" s="1003"/>
      <c r="J91" s="1002"/>
      <c r="K91" s="1002"/>
      <c r="L91" s="1016"/>
      <c r="M91" s="1016"/>
      <c r="N91" s="1014"/>
      <c r="O91" s="1014"/>
      <c r="P91" s="1021"/>
    </row>
    <row r="92" spans="1:19" s="7" customFormat="1" ht="24.75" hidden="1" customHeight="1" x14ac:dyDescent="0.45">
      <c r="A92" s="1007">
        <v>32</v>
      </c>
      <c r="B92" s="29" t="s">
        <v>75</v>
      </c>
      <c r="C92" s="187"/>
      <c r="D92" s="1004"/>
      <c r="E92" s="1004"/>
      <c r="F92" s="998" t="str">
        <f>IF(M92&lt;&gt;"rumus",L92&amp;" x "&amp;M92&amp;" = "&amp;L92*M92,"rumus")</f>
        <v>rumus</v>
      </c>
      <c r="G92" s="1000">
        <f>'Reviewer Eksternal (LK&amp;GB)1'!K77</f>
        <v>0</v>
      </c>
      <c r="H92" s="998"/>
      <c r="I92" s="1004" t="s">
        <v>66</v>
      </c>
      <c r="J92" s="1006"/>
      <c r="K92" s="1020"/>
      <c r="L92" s="1015" t="str">
        <f>IF(J92="1 Penulis (ke-1)",100%,IF(J92="2 Penulis (ke-1)",60%,IF(J92="2 Penulis (ke-2)",40%,IF(J92="3 Penulis (ke-1)",60%,IF(J92="3 Penulis (ke-2)",20%,IF(J92="3 Penulis (ke-3)",20%,IF(J92="4 Penulis (ke-1)",60%,IF(J92="4 Penulis (ke-2)",13.3%,IF(J92="4 Penulis (ke-3)",13.3%,IF(J92="4 Penulis (ke-4)",13.3%,"rumus"))))))))))</f>
        <v>rumus</v>
      </c>
      <c r="M92" s="1015" t="str">
        <f>IF(K92&lt;&gt;"",VLOOKUP(K92,List!$E$2:$F$23,2,0),"rumus")</f>
        <v>rumus</v>
      </c>
      <c r="N92" s="1018">
        <f t="shared" ref="N92" si="29">IFERROR(L92*M92,0)</f>
        <v>0</v>
      </c>
      <c r="O92" s="1014" t="e">
        <f>VLOOKUP(K92,List!$E$2:$G$23,3,0)</f>
        <v>#N/A</v>
      </c>
      <c r="P92" s="1020" t="str">
        <f>IF(RIGHT(J92,6)="(ke-1)","Penulis Utama",IF(J92="","","Pendamping"))</f>
        <v/>
      </c>
    </row>
    <row r="93" spans="1:19" s="7" customFormat="1" ht="52.5" hidden="1" customHeight="1" x14ac:dyDescent="0.45">
      <c r="A93" s="1008"/>
      <c r="B93" s="29" t="s">
        <v>76</v>
      </c>
      <c r="C93" s="187"/>
      <c r="D93" s="1005"/>
      <c r="E93" s="1005"/>
      <c r="F93" s="999"/>
      <c r="G93" s="1001"/>
      <c r="H93" s="999"/>
      <c r="I93" s="1005"/>
      <c r="J93" s="1006"/>
      <c r="K93" s="1021"/>
      <c r="L93" s="1016"/>
      <c r="M93" s="1017"/>
      <c r="N93" s="1018"/>
      <c r="O93" s="1014"/>
      <c r="P93" s="1021"/>
    </row>
    <row r="94" spans="1:19" s="7" customFormat="1" ht="15" hidden="1" customHeight="1" x14ac:dyDescent="0.45">
      <c r="A94" s="1007">
        <v>33</v>
      </c>
      <c r="B94" s="29" t="s">
        <v>75</v>
      </c>
      <c r="C94" s="84"/>
      <c r="D94" s="1004"/>
      <c r="E94" s="1004"/>
      <c r="F94" s="998" t="str">
        <f>IF(M94&lt;&gt;"rumus",L94&amp;" x "&amp;M94&amp;" = "&amp;L94*M94,"rumus")</f>
        <v>rumus</v>
      </c>
      <c r="G94" s="1000">
        <f>'Reviewer Eksternal (LK&amp;GB)1'!K79</f>
        <v>0</v>
      </c>
      <c r="H94" s="998"/>
      <c r="I94" s="1004" t="s">
        <v>66</v>
      </c>
      <c r="J94" s="1006"/>
      <c r="K94" s="1020"/>
      <c r="L94" s="1015" t="str">
        <f>IF(J94="1 Penulis (ke-1)",100%,IF(J94="2 Penulis (ke-1)",60%,IF(J94="2 Penulis (ke-2)",40%,IF(J94="3 Penulis (ke-1)",60%,IF(J94="3 Penulis (ke-2)",20%,IF(J94="3 Penulis (ke-3)",20%,IF(J94="4 Penulis (ke-1)",60%,IF(J94="4 Penulis (ke-2)",13.3%,IF(J94="4 Penulis (ke-3)",13.3%,IF(J94="4 Penulis (ke-4)",13.3%,"rumus"))))))))))</f>
        <v>rumus</v>
      </c>
      <c r="M94" s="1015" t="str">
        <f>IF(K94&lt;&gt;"",VLOOKUP(K94,List!$E$2:$F$23,2,0),"rumus")</f>
        <v>rumus</v>
      </c>
      <c r="N94" s="1018">
        <f t="shared" ref="N94" si="30">IFERROR(L94*M94,0)</f>
        <v>0</v>
      </c>
      <c r="O94" s="1014" t="e">
        <f>VLOOKUP(K94,List!$E$2:$G$23,3,0)</f>
        <v>#N/A</v>
      </c>
      <c r="P94" s="1020" t="str">
        <f>IF(RIGHT(J94,6)="(ke-1)","Penulis Utama",IF(J94="","","Pendamping"))</f>
        <v/>
      </c>
    </row>
    <row r="95" spans="1:19" s="7" customFormat="1" ht="55.5" hidden="1" customHeight="1" x14ac:dyDescent="0.45">
      <c r="A95" s="1008"/>
      <c r="B95" s="29" t="s">
        <v>76</v>
      </c>
      <c r="C95" s="187"/>
      <c r="D95" s="1005"/>
      <c r="E95" s="1005"/>
      <c r="F95" s="999"/>
      <c r="G95" s="1001"/>
      <c r="H95" s="999"/>
      <c r="I95" s="1005"/>
      <c r="J95" s="1006"/>
      <c r="K95" s="1021"/>
      <c r="L95" s="1016"/>
      <c r="M95" s="1017"/>
      <c r="N95" s="1018"/>
      <c r="O95" s="1014"/>
      <c r="P95" s="1021"/>
    </row>
    <row r="96" spans="1:19" s="7" customFormat="1" ht="15" hidden="1" customHeight="1" x14ac:dyDescent="0.45">
      <c r="A96" s="1007">
        <v>34</v>
      </c>
      <c r="B96" s="29" t="s">
        <v>75</v>
      </c>
      <c r="C96" s="187"/>
      <c r="D96" s="1004"/>
      <c r="E96" s="1004"/>
      <c r="F96" s="998" t="str">
        <f>IF(M96&lt;&gt;"rumus",L96&amp;" x "&amp;M96&amp;" = "&amp;L96*M96,"rumus")</f>
        <v>rumus</v>
      </c>
      <c r="G96" s="1000">
        <f>'Reviewer Eksternal (LK&amp;GB)1'!K81</f>
        <v>0</v>
      </c>
      <c r="H96" s="998"/>
      <c r="I96" s="1004" t="s">
        <v>66</v>
      </c>
      <c r="J96" s="1006"/>
      <c r="K96" s="1020"/>
      <c r="L96" s="1015" t="str">
        <f>IF(J96="1 Penulis (ke-1)",100%,IF(J96="2 Penulis (ke-1)",60%,IF(J96="2 Penulis (ke-2)",40%,IF(J96="3 Penulis (ke-1)",60%,IF(J96="3 Penulis (ke-2)",20%,IF(J96="3 Penulis (ke-3)",20%,IF(J96="4 Penulis (ke-1)",60%,IF(J96="4 Penulis (ke-2)",13.3%,IF(J96="4 Penulis (ke-3)",13.3%,IF(J96="4 Penulis (ke-4)",13.3%,"rumus"))))))))))</f>
        <v>rumus</v>
      </c>
      <c r="M96" s="1015" t="str">
        <f>IF(K96&lt;&gt;"",VLOOKUP(K96,List!$E$2:$F$23,2,0),"rumus")</f>
        <v>rumus</v>
      </c>
      <c r="N96" s="1018">
        <f t="shared" ref="N96" si="31">IFERROR(L96*M96,0)</f>
        <v>0</v>
      </c>
      <c r="O96" s="1014" t="e">
        <f>VLOOKUP(K96,List!$E$2:$G$23,3,0)</f>
        <v>#N/A</v>
      </c>
      <c r="P96" s="1020" t="str">
        <f>IF(RIGHT(J96,6)="(ke-1)","Penulis Utama",IF(J96="","","Pendamping"))</f>
        <v/>
      </c>
    </row>
    <row r="97" spans="1:16" s="7" customFormat="1" ht="52.5" hidden="1" customHeight="1" x14ac:dyDescent="0.45">
      <c r="A97" s="1008"/>
      <c r="B97" s="29" t="s">
        <v>76</v>
      </c>
      <c r="C97" s="187"/>
      <c r="D97" s="1005"/>
      <c r="E97" s="1005"/>
      <c r="F97" s="999"/>
      <c r="G97" s="1001"/>
      <c r="H97" s="999"/>
      <c r="I97" s="1005"/>
      <c r="J97" s="1006"/>
      <c r="K97" s="1021"/>
      <c r="L97" s="1016"/>
      <c r="M97" s="1017"/>
      <c r="N97" s="1018"/>
      <c r="O97" s="1014"/>
      <c r="P97" s="1021"/>
    </row>
    <row r="98" spans="1:16" s="7" customFormat="1" ht="15" hidden="1" customHeight="1" x14ac:dyDescent="0.45">
      <c r="A98" s="1007">
        <v>35</v>
      </c>
      <c r="B98" s="29" t="s">
        <v>75</v>
      </c>
      <c r="C98" s="84"/>
      <c r="D98" s="1004"/>
      <c r="E98" s="1004"/>
      <c r="F98" s="998" t="str">
        <f>IF(M98&lt;&gt;"rumus",L98&amp;" x "&amp;M98&amp;" = "&amp;L98*M98,"rumus")</f>
        <v>rumus</v>
      </c>
      <c r="G98" s="1000">
        <f>'Reviewer Eksternal (LK&amp;GB)1'!K83</f>
        <v>0</v>
      </c>
      <c r="H98" s="998"/>
      <c r="I98" s="1004" t="s">
        <v>66</v>
      </c>
      <c r="J98" s="1006"/>
      <c r="K98" s="1020"/>
      <c r="L98" s="1015" t="str">
        <f>IF(J98="1 Penulis (ke-1)",100%,IF(J98="2 Penulis (ke-1)",60%,IF(J98="2 Penulis (ke-2)",40%,IF(J98="3 Penulis (ke-1)",60%,IF(J98="3 Penulis (ke-2)",20%,IF(J98="3 Penulis (ke-3)",20%,IF(J98="4 Penulis (ke-1)",60%,IF(J98="4 Penulis (ke-2)",13.3%,IF(J98="4 Penulis (ke-3)",13.3%,IF(J98="4 Penulis (ke-4)",13.3%,"rumus"))))))))))</f>
        <v>rumus</v>
      </c>
      <c r="M98" s="1015" t="str">
        <f>IF(K98&lt;&gt;"",VLOOKUP(K98,List!$E$2:$F$23,2,0),"rumus")</f>
        <v>rumus</v>
      </c>
      <c r="N98" s="1018">
        <f t="shared" ref="N98" si="32">IFERROR(L98*M98,0)</f>
        <v>0</v>
      </c>
      <c r="O98" s="1014" t="e">
        <f>VLOOKUP(K98,List!$E$2:$G$23,3,0)</f>
        <v>#N/A</v>
      </c>
      <c r="P98" s="1020" t="str">
        <f>IF(RIGHT(J98,6)="(ke-1)","Penulis Utama",IF(J98="","","Pendamping"))</f>
        <v/>
      </c>
    </row>
    <row r="99" spans="1:16" s="7" customFormat="1" ht="55.5" hidden="1" customHeight="1" x14ac:dyDescent="0.45">
      <c r="A99" s="1008"/>
      <c r="B99" s="29" t="s">
        <v>76</v>
      </c>
      <c r="C99" s="187"/>
      <c r="D99" s="1005"/>
      <c r="E99" s="1005"/>
      <c r="F99" s="999"/>
      <c r="G99" s="1001"/>
      <c r="H99" s="999"/>
      <c r="I99" s="1005"/>
      <c r="J99" s="1006"/>
      <c r="K99" s="1021"/>
      <c r="L99" s="1016"/>
      <c r="M99" s="1017"/>
      <c r="N99" s="1018"/>
      <c r="O99" s="1014"/>
      <c r="P99" s="1021"/>
    </row>
    <row r="100" spans="1:16" s="7" customFormat="1" ht="15" hidden="1" customHeight="1" x14ac:dyDescent="0.45">
      <c r="A100" s="1007">
        <v>36</v>
      </c>
      <c r="B100" s="29" t="s">
        <v>75</v>
      </c>
      <c r="C100" s="187"/>
      <c r="D100" s="1004"/>
      <c r="E100" s="1004"/>
      <c r="F100" s="998" t="str">
        <f>IF(M100&lt;&gt;"rumus",L100&amp;" x "&amp;M100&amp;" = "&amp;L100*M100,"rumus")</f>
        <v>rumus</v>
      </c>
      <c r="G100" s="1000">
        <f>'Reviewer Eksternal (LK&amp;GB)1'!K85</f>
        <v>0</v>
      </c>
      <c r="H100" s="998"/>
      <c r="I100" s="1004" t="s">
        <v>66</v>
      </c>
      <c r="J100" s="1006"/>
      <c r="K100" s="1020"/>
      <c r="L100" s="1015" t="str">
        <f>IF(J100="1 Penulis (ke-1)",100%,IF(J100="2 Penulis (ke-1)",60%,IF(J100="2 Penulis (ke-2)",40%,IF(J100="3 Penulis (ke-1)",60%,IF(J100="3 Penulis (ke-2)",20%,IF(J100="3 Penulis (ke-3)",20%,IF(J100="4 Penulis (ke-1)",60%,IF(J100="4 Penulis (ke-2)",13.3%,IF(J100="4 Penulis (ke-3)",13.3%,IF(J100="4 Penulis (ke-4)",13.3%,"rumus"))))))))))</f>
        <v>rumus</v>
      </c>
      <c r="M100" s="1015" t="str">
        <f>IF(K100&lt;&gt;"",VLOOKUP(K100,List!$E$2:$F$23,2,0),"rumus")</f>
        <v>rumus</v>
      </c>
      <c r="N100" s="1018">
        <f t="shared" ref="N100" si="33">IFERROR(L100*M100,0)</f>
        <v>0</v>
      </c>
      <c r="O100" s="1014" t="e">
        <f>VLOOKUP(K100,List!$E$2:$G$23,3,0)</f>
        <v>#N/A</v>
      </c>
      <c r="P100" s="1020" t="str">
        <f>IF(RIGHT(J100,6)="(ke-1)","Penulis Utama",IF(J100="","","Pendamping"))</f>
        <v/>
      </c>
    </row>
    <row r="101" spans="1:16" s="7" customFormat="1" ht="52.5" hidden="1" customHeight="1" x14ac:dyDescent="0.45">
      <c r="A101" s="1008"/>
      <c r="B101" s="29" t="s">
        <v>76</v>
      </c>
      <c r="C101" s="187"/>
      <c r="D101" s="1005"/>
      <c r="E101" s="1005"/>
      <c r="F101" s="999"/>
      <c r="G101" s="1001"/>
      <c r="H101" s="999"/>
      <c r="I101" s="1005"/>
      <c r="J101" s="1006"/>
      <c r="K101" s="1021"/>
      <c r="L101" s="1016"/>
      <c r="M101" s="1017"/>
      <c r="N101" s="1018"/>
      <c r="O101" s="1014"/>
      <c r="P101" s="1021"/>
    </row>
    <row r="102" spans="1:16" s="7" customFormat="1" ht="15" hidden="1" customHeight="1" x14ac:dyDescent="0.45">
      <c r="A102" s="1007">
        <v>37</v>
      </c>
      <c r="B102" s="29" t="s">
        <v>75</v>
      </c>
      <c r="C102" s="84"/>
      <c r="D102" s="1004"/>
      <c r="E102" s="1004"/>
      <c r="F102" s="998" t="str">
        <f>IF(M102&lt;&gt;"rumus",L102&amp;" x "&amp;M102&amp;" = "&amp;L102*M102,"rumus")</f>
        <v>rumus</v>
      </c>
      <c r="G102" s="1000">
        <f>'Reviewer Eksternal (LK&amp;GB)1'!K87</f>
        <v>0</v>
      </c>
      <c r="H102" s="998"/>
      <c r="I102" s="1004" t="s">
        <v>66</v>
      </c>
      <c r="J102" s="1006"/>
      <c r="K102" s="1020"/>
      <c r="L102" s="1015" t="str">
        <f>IF(J102="1 Penulis (ke-1)",100%,IF(J102="2 Penulis (ke-1)",60%,IF(J102="2 Penulis (ke-2)",40%,IF(J102="3 Penulis (ke-1)",60%,IF(J102="3 Penulis (ke-2)",20%,IF(J102="3 Penulis (ke-3)",20%,IF(J102="4 Penulis (ke-1)",60%,IF(J102="4 Penulis (ke-2)",13.3%,IF(J102="4 Penulis (ke-3)",13.3%,IF(J102="4 Penulis (ke-4)",13.3%,"rumus"))))))))))</f>
        <v>rumus</v>
      </c>
      <c r="M102" s="1015" t="str">
        <f>IF(K102&lt;&gt;"",VLOOKUP(K102,List!$E$2:$F$23,2,0),"rumus")</f>
        <v>rumus</v>
      </c>
      <c r="N102" s="1018">
        <f t="shared" ref="N102" si="34">IFERROR(L102*M102,0)</f>
        <v>0</v>
      </c>
      <c r="O102" s="1014" t="e">
        <f>VLOOKUP(K102,List!$E$2:$G$23,3,0)</f>
        <v>#N/A</v>
      </c>
      <c r="P102" s="1020" t="str">
        <f>IF(RIGHT(J102,6)="(ke-1)","Penulis Utama",IF(J102="","","Pendamping"))</f>
        <v/>
      </c>
    </row>
    <row r="103" spans="1:16" s="7" customFormat="1" ht="55.5" hidden="1" customHeight="1" x14ac:dyDescent="0.45">
      <c r="A103" s="1008"/>
      <c r="B103" s="29" t="s">
        <v>76</v>
      </c>
      <c r="C103" s="187"/>
      <c r="D103" s="1005"/>
      <c r="E103" s="1005"/>
      <c r="F103" s="999"/>
      <c r="G103" s="1001"/>
      <c r="H103" s="999"/>
      <c r="I103" s="1005"/>
      <c r="J103" s="1006"/>
      <c r="K103" s="1021"/>
      <c r="L103" s="1016"/>
      <c r="M103" s="1017"/>
      <c r="N103" s="1018"/>
      <c r="O103" s="1014"/>
      <c r="P103" s="1021"/>
    </row>
    <row r="104" spans="1:16" s="7" customFormat="1" ht="15" hidden="1" customHeight="1" x14ac:dyDescent="0.45">
      <c r="A104" s="1007">
        <v>38</v>
      </c>
      <c r="B104" s="29" t="s">
        <v>75</v>
      </c>
      <c r="C104" s="187"/>
      <c r="D104" s="1004"/>
      <c r="E104" s="1004"/>
      <c r="F104" s="998" t="str">
        <f>IF(M104&lt;&gt;"rumus",L104&amp;" x "&amp;M104&amp;" = "&amp;L104*M104,"rumus")</f>
        <v>rumus</v>
      </c>
      <c r="G104" s="1000">
        <f>'Reviewer Eksternal (LK&amp;GB)1'!K89</f>
        <v>0</v>
      </c>
      <c r="H104" s="998"/>
      <c r="I104" s="1004" t="s">
        <v>66</v>
      </c>
      <c r="J104" s="1006"/>
      <c r="K104" s="1020"/>
      <c r="L104" s="1015" t="str">
        <f>IF(J104="1 Penulis (ke-1)",100%,IF(J104="2 Penulis (ke-1)",60%,IF(J104="2 Penulis (ke-2)",40%,IF(J104="3 Penulis (ke-1)",60%,IF(J104="3 Penulis (ke-2)",20%,IF(J104="3 Penulis (ke-3)",20%,IF(J104="4 Penulis (ke-1)",60%,IF(J104="4 Penulis (ke-2)",13.3%,IF(J104="4 Penulis (ke-3)",13.3%,IF(J104="4 Penulis (ke-4)",13.3%,"rumus"))))))))))</f>
        <v>rumus</v>
      </c>
      <c r="M104" s="1015" t="str">
        <f>IF(K104&lt;&gt;"",VLOOKUP(K104,List!$E$2:$F$23,2,0),"rumus")</f>
        <v>rumus</v>
      </c>
      <c r="N104" s="1018">
        <f t="shared" ref="N104" si="35">IFERROR(L104*M104,0)</f>
        <v>0</v>
      </c>
      <c r="O104" s="1014" t="e">
        <f>VLOOKUP(K104,List!$E$2:$G$23,3,0)</f>
        <v>#N/A</v>
      </c>
      <c r="P104" s="1020" t="str">
        <f>IF(RIGHT(J104,6)="(ke-1)","Penulis Utama",IF(J104="","","Pendamping"))</f>
        <v/>
      </c>
    </row>
    <row r="105" spans="1:16" s="7" customFormat="1" ht="52.5" hidden="1" customHeight="1" x14ac:dyDescent="0.45">
      <c r="A105" s="1008"/>
      <c r="B105" s="29" t="s">
        <v>76</v>
      </c>
      <c r="C105" s="187"/>
      <c r="D105" s="1005"/>
      <c r="E105" s="1005"/>
      <c r="F105" s="999"/>
      <c r="G105" s="1001"/>
      <c r="H105" s="999"/>
      <c r="I105" s="1005"/>
      <c r="J105" s="1006"/>
      <c r="K105" s="1021"/>
      <c r="L105" s="1016"/>
      <c r="M105" s="1017"/>
      <c r="N105" s="1018"/>
      <c r="O105" s="1014"/>
      <c r="P105" s="1021"/>
    </row>
    <row r="106" spans="1:16" s="7" customFormat="1" ht="24.75" hidden="1" customHeight="1" x14ac:dyDescent="0.45">
      <c r="A106" s="1007">
        <v>39</v>
      </c>
      <c r="B106" s="29" t="s">
        <v>75</v>
      </c>
      <c r="C106" s="187"/>
      <c r="D106" s="1004"/>
      <c r="E106" s="1004"/>
      <c r="F106" s="998" t="str">
        <f>IF(M106&lt;&gt;"rumus",L106&amp;" x "&amp;M106&amp;" = "&amp;L106*M106,"rumus")</f>
        <v>rumus</v>
      </c>
      <c r="G106" s="1000">
        <f>'Reviewer Eksternal (LK&amp;GB)1'!K91</f>
        <v>0</v>
      </c>
      <c r="H106" s="998"/>
      <c r="I106" s="1004" t="s">
        <v>66</v>
      </c>
      <c r="J106" s="1006"/>
      <c r="K106" s="1020"/>
      <c r="L106" s="1015" t="str">
        <f>IF(J106="1 Penulis (ke-1)",100%,IF(J106="2 Penulis (ke-1)",60%,IF(J106="2 Penulis (ke-2)",40%,IF(J106="3 Penulis (ke-1)",60%,IF(J106="3 Penulis (ke-2)",20%,IF(J106="3 Penulis (ke-3)",20%,IF(J106="4 Penulis (ke-1)",60%,IF(J106="4 Penulis (ke-2)",13.3%,IF(J106="4 Penulis (ke-3)",13.3%,IF(J106="4 Penulis (ke-4)",13.3%,"rumus"))))))))))</f>
        <v>rumus</v>
      </c>
      <c r="M106" s="1015" t="str">
        <f>IF(K106&lt;&gt;"",VLOOKUP(K106,List!$E$2:$F$23,2,0),"rumus")</f>
        <v>rumus</v>
      </c>
      <c r="N106" s="1018">
        <f t="shared" ref="N106" si="36">IFERROR(L106*M106,0)</f>
        <v>0</v>
      </c>
      <c r="O106" s="1014" t="e">
        <f>VLOOKUP(K106,List!$E$2:$G$23,3,0)</f>
        <v>#N/A</v>
      </c>
      <c r="P106" s="1020" t="str">
        <f>IF(RIGHT(J106,6)="(ke-1)","Penulis Utama",IF(J106="","","Pendamping"))</f>
        <v/>
      </c>
    </row>
    <row r="107" spans="1:16" s="7" customFormat="1" ht="69.75" hidden="1" customHeight="1" x14ac:dyDescent="0.45">
      <c r="A107" s="1008"/>
      <c r="B107" s="29" t="s">
        <v>76</v>
      </c>
      <c r="C107" s="187"/>
      <c r="D107" s="1005"/>
      <c r="E107" s="1005"/>
      <c r="F107" s="999"/>
      <c r="G107" s="1001"/>
      <c r="H107" s="999"/>
      <c r="I107" s="1005"/>
      <c r="J107" s="1006"/>
      <c r="K107" s="1021"/>
      <c r="L107" s="1016"/>
      <c r="M107" s="1017"/>
      <c r="N107" s="1018"/>
      <c r="O107" s="1014"/>
      <c r="P107" s="1021"/>
    </row>
    <row r="108" spans="1:16" s="7" customFormat="1" ht="24.75" hidden="1" customHeight="1" x14ac:dyDescent="0.45">
      <c r="A108" s="1007">
        <v>40</v>
      </c>
      <c r="B108" s="29" t="s">
        <v>75</v>
      </c>
      <c r="C108" s="187"/>
      <c r="D108" s="1004"/>
      <c r="E108" s="1004"/>
      <c r="F108" s="998" t="str">
        <f>IF(M108&lt;&gt;"rumus",L108&amp;" x "&amp;M108&amp;" = "&amp;L108*M108,"rumus")</f>
        <v>rumus</v>
      </c>
      <c r="G108" s="1000">
        <f>'Reviewer Eksternal (LK&amp;GB)1'!K93</f>
        <v>0</v>
      </c>
      <c r="H108" s="998"/>
      <c r="I108" s="1004" t="s">
        <v>66</v>
      </c>
      <c r="J108" s="1006"/>
      <c r="K108" s="1020"/>
      <c r="L108" s="1015" t="str">
        <f>IF(J108="1 Penulis (ke-1)",100%,IF(J108="2 Penulis (ke-1)",60%,IF(J108="2 Penulis (ke-2)",40%,IF(J108="3 Penulis (ke-1)",60%,IF(J108="3 Penulis (ke-2)",20%,IF(J108="3 Penulis (ke-3)",20%,IF(J108="4 Penulis (ke-1)",60%,IF(J108="4 Penulis (ke-2)",13.3%,IF(J108="4 Penulis (ke-3)",13.3%,IF(J108="4 Penulis (ke-4)",13.3%,"rumus"))))))))))</f>
        <v>rumus</v>
      </c>
      <c r="M108" s="1015" t="str">
        <f>IF(K108&lt;&gt;"",VLOOKUP(K108,List!$E$2:$F$23,2,0),"rumus")</f>
        <v>rumus</v>
      </c>
      <c r="N108" s="1018">
        <f t="shared" ref="N108" si="37">IFERROR(L108*M108,0)</f>
        <v>0</v>
      </c>
      <c r="O108" s="1014" t="e">
        <f>VLOOKUP(K108,List!$E$2:$G$23,3,0)</f>
        <v>#N/A</v>
      </c>
      <c r="P108" s="1020" t="str">
        <f>IF(RIGHT(J108,6)="(ke-1)","Penulis Utama",IF(J108="","","Pendamping"))</f>
        <v/>
      </c>
    </row>
    <row r="109" spans="1:16" s="7" customFormat="1" ht="52.5" hidden="1" customHeight="1" x14ac:dyDescent="0.45">
      <c r="A109" s="1008"/>
      <c r="B109" s="29" t="s">
        <v>76</v>
      </c>
      <c r="C109" s="187"/>
      <c r="D109" s="1005"/>
      <c r="E109" s="1005"/>
      <c r="F109" s="999"/>
      <c r="G109" s="1001"/>
      <c r="H109" s="999"/>
      <c r="I109" s="1005"/>
      <c r="J109" s="1006"/>
      <c r="K109" s="1021"/>
      <c r="L109" s="1016"/>
      <c r="M109" s="1017"/>
      <c r="N109" s="1018"/>
      <c r="O109" s="1014"/>
      <c r="P109" s="1021"/>
    </row>
    <row r="110" spans="1:16" s="7" customFormat="1" ht="27.75" customHeight="1" x14ac:dyDescent="0.45">
      <c r="A110" s="779" t="s">
        <v>794</v>
      </c>
      <c r="B110" s="780"/>
      <c r="C110" s="780"/>
      <c r="D110" s="780"/>
      <c r="E110" s="780"/>
      <c r="F110" s="780"/>
      <c r="G110" s="780"/>
      <c r="H110" s="780"/>
      <c r="I110" s="781"/>
      <c r="J110" s="776"/>
      <c r="K110" s="776"/>
      <c r="L110" s="777"/>
      <c r="M110" s="777"/>
      <c r="N110" s="778"/>
      <c r="O110" s="578"/>
    </row>
    <row r="111" spans="1:16" s="7" customFormat="1" ht="24.75" hidden="1" customHeight="1" x14ac:dyDescent="0.45">
      <c r="A111" s="1007">
        <v>41</v>
      </c>
      <c r="B111" s="29" t="s">
        <v>75</v>
      </c>
      <c r="C111" s="187"/>
      <c r="D111" s="1004"/>
      <c r="E111" s="1004"/>
      <c r="F111" s="998" t="str">
        <f>IF(M111&lt;&gt;"rumus",L111&amp;" x "&amp;M111&amp;" = "&amp;L111*M111,"rumus")</f>
        <v>rumus</v>
      </c>
      <c r="G111" s="1000">
        <f>'Reviewer Eksternal (LK&amp;GB)1'!K96</f>
        <v>0</v>
      </c>
      <c r="H111" s="998"/>
      <c r="I111" s="1004" t="s">
        <v>66</v>
      </c>
      <c r="J111" s="1006"/>
      <c r="K111" s="1020"/>
      <c r="L111" s="1015" t="str">
        <f>IF(J111="1 Penulis (ke-1)",100%,IF(J111="2 Penulis (ke-1)",60%,IF(J111="2 Penulis (ke-2)",40%,IF(J111="3 Penulis (ke-1)",60%,IF(J111="3 Penulis (ke-2)",20%,IF(J111="3 Penulis (ke-3)",20%,IF(J111="4 Penulis (ke-1)",60%,IF(J111="4 Penulis (ke-2)",13.3%,IF(J111="4 Penulis (ke-3)",13.3%,IF(J111="4 Penulis (ke-4)",13.3%,"rumus"))))))))))</f>
        <v>rumus</v>
      </c>
      <c r="M111" s="1015" t="str">
        <f>IF(K111&lt;&gt;"",VLOOKUP(K111,List!$E$2:$F$23,2,0),"rumus")</f>
        <v>rumus</v>
      </c>
      <c r="N111" s="1018">
        <f t="shared" ref="N111" si="38">IFERROR(L111*M111,0)</f>
        <v>0</v>
      </c>
      <c r="O111" s="1014" t="e">
        <f>VLOOKUP(K111,List!$E$2:$G$23,3,0)</f>
        <v>#N/A</v>
      </c>
      <c r="P111" s="1020" t="str">
        <f>IF(RIGHT(J111,6)="(ke-1)","Penulis Utama",IF(J111="","","Pendamping"))</f>
        <v/>
      </c>
    </row>
    <row r="112" spans="1:16" s="7" customFormat="1" ht="52.5" hidden="1" customHeight="1" x14ac:dyDescent="0.45">
      <c r="A112" s="1008"/>
      <c r="B112" s="29" t="s">
        <v>76</v>
      </c>
      <c r="C112" s="187"/>
      <c r="D112" s="1005"/>
      <c r="E112" s="1005"/>
      <c r="F112" s="999"/>
      <c r="G112" s="1001"/>
      <c r="H112" s="999"/>
      <c r="I112" s="1005"/>
      <c r="J112" s="1006"/>
      <c r="K112" s="1021"/>
      <c r="L112" s="1016"/>
      <c r="M112" s="1017"/>
      <c r="N112" s="1018"/>
      <c r="O112" s="1014"/>
      <c r="P112" s="1021"/>
    </row>
    <row r="113" spans="1:16" s="7" customFormat="1" ht="24.75" hidden="1" customHeight="1" x14ac:dyDescent="0.45">
      <c r="A113" s="1007">
        <v>42</v>
      </c>
      <c r="B113" s="29" t="s">
        <v>75</v>
      </c>
      <c r="C113" s="187"/>
      <c r="D113" s="1004"/>
      <c r="E113" s="1004"/>
      <c r="F113" s="998" t="str">
        <f>IF(M113&lt;&gt;"rumus",L113&amp;" x "&amp;M113&amp;" = "&amp;L113*M113,"rumus")</f>
        <v>rumus</v>
      </c>
      <c r="G113" s="1000">
        <f>'Reviewer Eksternal (LK&amp;GB)1'!K98</f>
        <v>0</v>
      </c>
      <c r="H113" s="998"/>
      <c r="I113" s="1004" t="s">
        <v>66</v>
      </c>
      <c r="J113" s="1006"/>
      <c r="K113" s="1020"/>
      <c r="L113" s="1015" t="str">
        <f>IF(J113="1 Penulis (ke-1)",100%,IF(J113="2 Penulis (ke-1)",60%,IF(J113="2 Penulis (ke-2)",40%,IF(J113="3 Penulis (ke-1)",60%,IF(J113="3 Penulis (ke-2)",20%,IF(J113="3 Penulis (ke-3)",20%,IF(J113="4 Penulis (ke-1)",60%,IF(J113="4 Penulis (ke-2)",13.3%,IF(J113="4 Penulis (ke-3)",13.3%,IF(J113="4 Penulis (ke-4)",13.3%,"rumus"))))))))))</f>
        <v>rumus</v>
      </c>
      <c r="M113" s="1015" t="str">
        <f>IF(K113&lt;&gt;"",VLOOKUP(K113,List!$E$2:$F$23,2,0),"rumus")</f>
        <v>rumus</v>
      </c>
      <c r="N113" s="1018">
        <f t="shared" ref="N113" si="39">IFERROR(L113*M113,0)</f>
        <v>0</v>
      </c>
      <c r="O113" s="1014" t="e">
        <f>VLOOKUP(K113,List!$E$2:$G$23,3,0)</f>
        <v>#N/A</v>
      </c>
      <c r="P113" s="1020" t="str">
        <f>IF(RIGHT(J113,6)="(ke-1)","Penulis Utama",IF(J113="","","Pendamping"))</f>
        <v/>
      </c>
    </row>
    <row r="114" spans="1:16" s="7" customFormat="1" ht="52.5" hidden="1" customHeight="1" x14ac:dyDescent="0.45">
      <c r="A114" s="1008"/>
      <c r="B114" s="29" t="s">
        <v>76</v>
      </c>
      <c r="C114" s="187"/>
      <c r="D114" s="1005"/>
      <c r="E114" s="1005"/>
      <c r="F114" s="999"/>
      <c r="G114" s="1001"/>
      <c r="H114" s="999"/>
      <c r="I114" s="1005"/>
      <c r="J114" s="1006"/>
      <c r="K114" s="1021"/>
      <c r="L114" s="1016"/>
      <c r="M114" s="1017"/>
      <c r="N114" s="1018"/>
      <c r="O114" s="1014"/>
      <c r="P114" s="1021"/>
    </row>
    <row r="115" spans="1:16" s="7" customFormat="1" ht="24.75" hidden="1" customHeight="1" x14ac:dyDescent="0.45">
      <c r="A115" s="1007">
        <v>43</v>
      </c>
      <c r="B115" s="29" t="s">
        <v>75</v>
      </c>
      <c r="C115" s="187"/>
      <c r="D115" s="1004"/>
      <c r="E115" s="1004"/>
      <c r="F115" s="998" t="str">
        <f>IF(M115&lt;&gt;"rumus",L115&amp;" x "&amp;M115&amp;" = "&amp;L115*M115,"rumus")</f>
        <v>rumus</v>
      </c>
      <c r="G115" s="1000">
        <f>'Reviewer Eksternal (LK&amp;GB)1'!K100</f>
        <v>0</v>
      </c>
      <c r="H115" s="998"/>
      <c r="I115" s="1004" t="s">
        <v>66</v>
      </c>
      <c r="J115" s="1006"/>
      <c r="K115" s="1020"/>
      <c r="L115" s="1015" t="str">
        <f>IF(J115="1 Penulis (ke-1)",100%,IF(J115="2 Penulis (ke-1)",60%,IF(J115="2 Penulis (ke-2)",40%,IF(J115="3 Penulis (ke-1)",60%,IF(J115="3 Penulis (ke-2)",20%,IF(J115="3 Penulis (ke-3)",20%,IF(J115="4 Penulis (ke-1)",60%,IF(J115="4 Penulis (ke-2)",13.3%,IF(J115="4 Penulis (ke-3)",13.3%,IF(J115="4 Penulis (ke-4)",13.3%,"rumus"))))))))))</f>
        <v>rumus</v>
      </c>
      <c r="M115" s="1015" t="str">
        <f>IF(K115&lt;&gt;"",VLOOKUP(K115,List!$E$2:$F$23,2,0),"rumus")</f>
        <v>rumus</v>
      </c>
      <c r="N115" s="1018">
        <f t="shared" ref="N115" si="40">IFERROR(L115*M115,0)</f>
        <v>0</v>
      </c>
      <c r="O115" s="1014" t="e">
        <f>VLOOKUP(K115,List!$E$2:$G$23,3,0)</f>
        <v>#N/A</v>
      </c>
      <c r="P115" s="1020" t="str">
        <f>IF(RIGHT(J115,6)="(ke-1)","Penulis Utama",IF(J115="","","Pendamping"))</f>
        <v/>
      </c>
    </row>
    <row r="116" spans="1:16" s="7" customFormat="1" ht="52.5" hidden="1" customHeight="1" x14ac:dyDescent="0.45">
      <c r="A116" s="1008"/>
      <c r="B116" s="29" t="s">
        <v>76</v>
      </c>
      <c r="C116" s="187"/>
      <c r="D116" s="1005"/>
      <c r="E116" s="1005"/>
      <c r="F116" s="999"/>
      <c r="G116" s="1001"/>
      <c r="H116" s="999"/>
      <c r="I116" s="1005"/>
      <c r="J116" s="1006"/>
      <c r="K116" s="1021"/>
      <c r="L116" s="1016"/>
      <c r="M116" s="1017"/>
      <c r="N116" s="1018"/>
      <c r="O116" s="1014"/>
      <c r="P116" s="1021"/>
    </row>
    <row r="117" spans="1:16" s="7" customFormat="1" ht="24.75" hidden="1" customHeight="1" x14ac:dyDescent="0.45">
      <c r="A117" s="1007">
        <v>44</v>
      </c>
      <c r="B117" s="29" t="s">
        <v>75</v>
      </c>
      <c r="C117" s="187"/>
      <c r="D117" s="1004"/>
      <c r="E117" s="1004"/>
      <c r="F117" s="998" t="str">
        <f>IF(M117&lt;&gt;"rumus",L117&amp;" x "&amp;M117&amp;" = "&amp;L117*M117,"rumus")</f>
        <v>rumus</v>
      </c>
      <c r="G117" s="1000">
        <f>'Reviewer Eksternal (LK&amp;GB)1'!K102</f>
        <v>0</v>
      </c>
      <c r="H117" s="998"/>
      <c r="I117" s="1004" t="s">
        <v>66</v>
      </c>
      <c r="J117" s="1006"/>
      <c r="K117" s="1020"/>
      <c r="L117" s="1015" t="str">
        <f>IF(J117="1 Penulis (ke-1)",100%,IF(J117="2 Penulis (ke-1)",60%,IF(J117="2 Penulis (ke-2)",40%,IF(J117="3 Penulis (ke-1)",60%,IF(J117="3 Penulis (ke-2)",20%,IF(J117="3 Penulis (ke-3)",20%,IF(J117="4 Penulis (ke-1)",60%,IF(J117="4 Penulis (ke-2)",13.3%,IF(J117="4 Penulis (ke-3)",13.3%,IF(J117="4 Penulis (ke-4)",13.3%,"rumus"))))))))))</f>
        <v>rumus</v>
      </c>
      <c r="M117" s="1015" t="str">
        <f>IF(K117&lt;&gt;"",VLOOKUP(K117,List!$E$2:$F$23,2,0),"rumus")</f>
        <v>rumus</v>
      </c>
      <c r="N117" s="1018">
        <f t="shared" ref="N117" si="41">IFERROR(L117*M117,0)</f>
        <v>0</v>
      </c>
      <c r="O117" s="1014" t="e">
        <f>VLOOKUP(K117,List!$E$2:$G$23,3,0)</f>
        <v>#N/A</v>
      </c>
      <c r="P117" s="1020" t="str">
        <f>IF(RIGHT(J117,6)="(ke-1)","Penulis Utama",IF(J117="","","Pendamping"))</f>
        <v/>
      </c>
    </row>
    <row r="118" spans="1:16" s="7" customFormat="1" ht="52.5" hidden="1" customHeight="1" x14ac:dyDescent="0.45">
      <c r="A118" s="1008"/>
      <c r="B118" s="29" t="s">
        <v>76</v>
      </c>
      <c r="C118" s="187"/>
      <c r="D118" s="1005"/>
      <c r="E118" s="1005"/>
      <c r="F118" s="999"/>
      <c r="G118" s="1001"/>
      <c r="H118" s="999"/>
      <c r="I118" s="1005"/>
      <c r="J118" s="1006"/>
      <c r="K118" s="1021"/>
      <c r="L118" s="1016"/>
      <c r="M118" s="1017"/>
      <c r="N118" s="1018"/>
      <c r="O118" s="1014"/>
      <c r="P118" s="1021"/>
    </row>
    <row r="119" spans="1:16" s="7" customFormat="1" ht="24.75" hidden="1" customHeight="1" x14ac:dyDescent="0.45">
      <c r="A119" s="1007">
        <v>45</v>
      </c>
      <c r="B119" s="29" t="s">
        <v>75</v>
      </c>
      <c r="C119" s="187"/>
      <c r="D119" s="1004"/>
      <c r="E119" s="1004"/>
      <c r="F119" s="998" t="str">
        <f>IF(M119&lt;&gt;"rumus",L119&amp;" x "&amp;M119&amp;" = "&amp;L119*M119,"rumus")</f>
        <v>rumus</v>
      </c>
      <c r="G119" s="1000">
        <f>'Reviewer Eksternal (LK&amp;GB)1'!K104</f>
        <v>0</v>
      </c>
      <c r="H119" s="998"/>
      <c r="I119" s="1004" t="s">
        <v>66</v>
      </c>
      <c r="J119" s="1006"/>
      <c r="K119" s="1020"/>
      <c r="L119" s="1015" t="str">
        <f>IF(J119="1 Penulis (ke-1)",100%,IF(J119="2 Penulis (ke-1)",60%,IF(J119="2 Penulis (ke-2)",40%,IF(J119="3 Penulis (ke-1)",60%,IF(J119="3 Penulis (ke-2)",20%,IF(J119="3 Penulis (ke-3)",20%,IF(J119="4 Penulis (ke-1)",60%,IF(J119="4 Penulis (ke-2)",13.3%,IF(J119="4 Penulis (ke-3)",13.3%,IF(J119="4 Penulis (ke-4)",13.3%,"rumus"))))))))))</f>
        <v>rumus</v>
      </c>
      <c r="M119" s="1015" t="str">
        <f>IF(K119&lt;&gt;"",VLOOKUP(K119,List!$E$2:$F$23,2,0),"rumus")</f>
        <v>rumus</v>
      </c>
      <c r="N119" s="1018">
        <f t="shared" ref="N119" si="42">IFERROR(L119*M119,0)</f>
        <v>0</v>
      </c>
      <c r="O119" s="1014" t="e">
        <f>VLOOKUP(K119,List!$E$2:$G$23,3,0)</f>
        <v>#N/A</v>
      </c>
      <c r="P119" s="1020" t="str">
        <f>IF(RIGHT(J119,6)="(ke-1)","Penulis Utama",IF(J119="","","Pendamping"))</f>
        <v/>
      </c>
    </row>
    <row r="120" spans="1:16" s="7" customFormat="1" ht="52.5" hidden="1" customHeight="1" x14ac:dyDescent="0.45">
      <c r="A120" s="1008"/>
      <c r="B120" s="29" t="s">
        <v>76</v>
      </c>
      <c r="C120" s="187"/>
      <c r="D120" s="1005"/>
      <c r="E120" s="1005"/>
      <c r="F120" s="999"/>
      <c r="G120" s="1001"/>
      <c r="H120" s="999"/>
      <c r="I120" s="1005"/>
      <c r="J120" s="1006"/>
      <c r="K120" s="1021"/>
      <c r="L120" s="1016"/>
      <c r="M120" s="1017"/>
      <c r="N120" s="1018"/>
      <c r="O120" s="1014"/>
      <c r="P120" s="1021"/>
    </row>
    <row r="121" spans="1:16" s="7" customFormat="1" ht="27.75" customHeight="1" x14ac:dyDescent="0.45">
      <c r="A121" s="779" t="s">
        <v>787</v>
      </c>
      <c r="B121" s="780"/>
      <c r="C121" s="780"/>
      <c r="D121" s="780"/>
      <c r="E121" s="780"/>
      <c r="F121" s="780"/>
      <c r="G121" s="780"/>
      <c r="H121" s="780"/>
      <c r="I121" s="781"/>
      <c r="J121" s="776"/>
      <c r="K121" s="776"/>
      <c r="L121" s="777"/>
      <c r="M121" s="777"/>
      <c r="N121" s="778"/>
      <c r="O121" s="577"/>
    </row>
    <row r="122" spans="1:16" s="7" customFormat="1" ht="15" hidden="1" customHeight="1" x14ac:dyDescent="0.45">
      <c r="A122" s="1007">
        <v>46</v>
      </c>
      <c r="B122" s="29" t="s">
        <v>75</v>
      </c>
      <c r="C122" s="84"/>
      <c r="D122" s="1004"/>
      <c r="E122" s="1004"/>
      <c r="F122" s="998" t="str">
        <f>IF(M122&lt;&gt;"rumus",L122&amp;" x "&amp;M122&amp;" = "&amp;L122*M122,"rumus")</f>
        <v>rumus</v>
      </c>
      <c r="G122" s="1000">
        <f>'Reviewer Eksternal (LK&amp;GB)1'!K107</f>
        <v>0</v>
      </c>
      <c r="H122" s="998"/>
      <c r="I122" s="1013" t="s">
        <v>790</v>
      </c>
      <c r="J122" s="1006"/>
      <c r="K122" s="1020"/>
      <c r="L122" s="1015" t="str">
        <f>IF(J122="1 Penulis (ke-1)",100%,IF(J122="2 Penulis (ke-1)",60%,IF(J122="2 Penulis (ke-2)",40%,IF(J122="3 Penulis (ke-1)",60%,IF(J122="3 Penulis (ke-2)",20%,IF(J122="3 Penulis (ke-3)",20%,IF(J122="4 Penulis (ke-1)",60%,IF(J122="4 Penulis (ke-2)",13.3%,IF(J122="4 Penulis (ke-3)",13.3%,IF(J122="4 Penulis (ke-4)",13.3%,"rumus"))))))))))</f>
        <v>rumus</v>
      </c>
      <c r="M122" s="1015" t="str">
        <f>IF(K122&lt;&gt;"",VLOOKUP(K122,List!$E$2:$F$23,2,0),"rumus")</f>
        <v>rumus</v>
      </c>
      <c r="N122" s="1018">
        <f t="shared" ref="N122" si="43">IFERROR(L122*M122,0)</f>
        <v>0</v>
      </c>
      <c r="O122" s="1014" t="e">
        <f>VLOOKUP(K122,List!$E$2:$G$23,3,0)</f>
        <v>#N/A</v>
      </c>
      <c r="P122" s="1020" t="str">
        <f>IF(RIGHT(J122,6)="(ke-1)","Penulis Utama",IF(J122="","","Pendamping"))</f>
        <v/>
      </c>
    </row>
    <row r="123" spans="1:16" s="7" customFormat="1" ht="55.5" hidden="1" customHeight="1" x14ac:dyDescent="0.45">
      <c r="A123" s="1008"/>
      <c r="B123" s="29" t="s">
        <v>76</v>
      </c>
      <c r="C123" s="187"/>
      <c r="D123" s="1005"/>
      <c r="E123" s="1005"/>
      <c r="F123" s="999"/>
      <c r="G123" s="1001"/>
      <c r="H123" s="999"/>
      <c r="I123" s="1013"/>
      <c r="J123" s="1006"/>
      <c r="K123" s="1021"/>
      <c r="L123" s="1016"/>
      <c r="M123" s="1017"/>
      <c r="N123" s="1018"/>
      <c r="O123" s="1014"/>
      <c r="P123" s="1021"/>
    </row>
    <row r="124" spans="1:16" s="7" customFormat="1" ht="15" hidden="1" customHeight="1" x14ac:dyDescent="0.45">
      <c r="A124" s="1007">
        <v>47</v>
      </c>
      <c r="B124" s="29" t="s">
        <v>75</v>
      </c>
      <c r="C124" s="187"/>
      <c r="D124" s="1004"/>
      <c r="E124" s="1004"/>
      <c r="F124" s="998" t="str">
        <f>IF(M124&lt;&gt;"rumus",L124&amp;" x "&amp;M124&amp;" = "&amp;L124*M124,"rumus")</f>
        <v>rumus</v>
      </c>
      <c r="G124" s="1000">
        <f>'Reviewer Eksternal (LK&amp;GB)1'!K109</f>
        <v>0</v>
      </c>
      <c r="H124" s="998"/>
      <c r="I124" s="1004" t="s">
        <v>66</v>
      </c>
      <c r="J124" s="1006"/>
      <c r="K124" s="1020"/>
      <c r="L124" s="1015" t="str">
        <f>IF(J124="1 Penulis (ke-1)",100%,IF(J124="2 Penulis (ke-1)",60%,IF(J124="2 Penulis (ke-2)",40%,IF(J124="3 Penulis (ke-1)",60%,IF(J124="3 Penulis (ke-2)",20%,IF(J124="3 Penulis (ke-3)",20%,IF(J124="4 Penulis (ke-1)",60%,IF(J124="4 Penulis (ke-2)",13.3%,IF(J124="4 Penulis (ke-3)",13.3%,IF(J124="4 Penulis (ke-4)",13.3%,"rumus"))))))))))</f>
        <v>rumus</v>
      </c>
      <c r="M124" s="1015" t="str">
        <f>IF(K124&lt;&gt;"",VLOOKUP(K124,List!$E$2:$F$23,2,0),"rumus")</f>
        <v>rumus</v>
      </c>
      <c r="N124" s="1018">
        <f t="shared" ref="N124" si="44">IFERROR(L124*M124,0)</f>
        <v>0</v>
      </c>
      <c r="O124" s="1014" t="e">
        <f>VLOOKUP(K124,List!$E$2:$G$23,3,0)</f>
        <v>#N/A</v>
      </c>
      <c r="P124" s="1020" t="str">
        <f>IF(RIGHT(J124,6)="(ke-1)","Penulis Utama",IF(J124="","","Pendamping"))</f>
        <v/>
      </c>
    </row>
    <row r="125" spans="1:16" s="7" customFormat="1" ht="52.5" hidden="1" customHeight="1" x14ac:dyDescent="0.45">
      <c r="A125" s="1008"/>
      <c r="B125" s="29" t="s">
        <v>76</v>
      </c>
      <c r="C125" s="187"/>
      <c r="D125" s="1005"/>
      <c r="E125" s="1005"/>
      <c r="F125" s="999"/>
      <c r="G125" s="1001"/>
      <c r="H125" s="999"/>
      <c r="I125" s="1005"/>
      <c r="J125" s="1006"/>
      <c r="K125" s="1021"/>
      <c r="L125" s="1016"/>
      <c r="M125" s="1017"/>
      <c r="N125" s="1018"/>
      <c r="O125" s="1014"/>
      <c r="P125" s="1021"/>
    </row>
    <row r="126" spans="1:16" s="7" customFormat="1" ht="15" hidden="1" customHeight="1" x14ac:dyDescent="0.45">
      <c r="A126" s="1007">
        <v>48</v>
      </c>
      <c r="B126" s="29" t="s">
        <v>75</v>
      </c>
      <c r="C126" s="84"/>
      <c r="D126" s="1004"/>
      <c r="E126" s="1004"/>
      <c r="F126" s="998" t="str">
        <f>IF(M126&lt;&gt;"rumus",L126&amp;" x "&amp;M126&amp;" = "&amp;L126*M126,"rumus")</f>
        <v>rumus</v>
      </c>
      <c r="G126" s="1000">
        <f>'Reviewer Eksternal (LK&amp;GB)1'!K111</f>
        <v>0</v>
      </c>
      <c r="H126" s="998"/>
      <c r="I126" s="1004" t="s">
        <v>66</v>
      </c>
      <c r="J126" s="1006"/>
      <c r="K126" s="1020"/>
      <c r="L126" s="1015" t="str">
        <f>IF(J126="1 Penulis (ke-1)",100%,IF(J126="2 Penulis (ke-1)",60%,IF(J126="2 Penulis (ke-2)",40%,IF(J126="3 Penulis (ke-1)",60%,IF(J126="3 Penulis (ke-2)",20%,IF(J126="3 Penulis (ke-3)",20%,IF(J126="4 Penulis (ke-1)",60%,IF(J126="4 Penulis (ke-2)",13.3%,IF(J126="4 Penulis (ke-3)",13.3%,IF(J126="4 Penulis (ke-4)",13.3%,"rumus"))))))))))</f>
        <v>rumus</v>
      </c>
      <c r="M126" s="1015" t="str">
        <f>IF(K126&lt;&gt;"",VLOOKUP(K126,List!$E$2:$F$23,2,0),"rumus")</f>
        <v>rumus</v>
      </c>
      <c r="N126" s="1018">
        <f t="shared" ref="N126" si="45">IFERROR(L126*M126,0)</f>
        <v>0</v>
      </c>
      <c r="O126" s="1014" t="e">
        <f>VLOOKUP(K126,List!$E$2:$G$23,3,0)</f>
        <v>#N/A</v>
      </c>
      <c r="P126" s="1020" t="str">
        <f>IF(RIGHT(J126,6)="(ke-1)","Penulis Utama",IF(J126="","","Pendamping"))</f>
        <v/>
      </c>
    </row>
    <row r="127" spans="1:16" s="7" customFormat="1" ht="55.5" hidden="1" customHeight="1" x14ac:dyDescent="0.45">
      <c r="A127" s="1008"/>
      <c r="B127" s="29" t="s">
        <v>76</v>
      </c>
      <c r="C127" s="187"/>
      <c r="D127" s="1005"/>
      <c r="E127" s="1005"/>
      <c r="F127" s="999"/>
      <c r="G127" s="1001"/>
      <c r="H127" s="999"/>
      <c r="I127" s="1005"/>
      <c r="J127" s="1006"/>
      <c r="K127" s="1021"/>
      <c r="L127" s="1016"/>
      <c r="M127" s="1017"/>
      <c r="N127" s="1018"/>
      <c r="O127" s="1014"/>
      <c r="P127" s="1021"/>
    </row>
    <row r="128" spans="1:16" s="7" customFormat="1" ht="15" hidden="1" customHeight="1" x14ac:dyDescent="0.45">
      <c r="A128" s="1007">
        <v>49</v>
      </c>
      <c r="B128" s="29" t="s">
        <v>75</v>
      </c>
      <c r="C128" s="187"/>
      <c r="D128" s="1004"/>
      <c r="E128" s="1004"/>
      <c r="F128" s="998" t="str">
        <f>IF(M128&lt;&gt;"rumus",L128&amp;" x "&amp;M128&amp;" = "&amp;L128*M128,"rumus")</f>
        <v>rumus</v>
      </c>
      <c r="G128" s="1000">
        <f>'Reviewer Eksternal (LK&amp;GB)1'!K113</f>
        <v>0</v>
      </c>
      <c r="H128" s="998"/>
      <c r="I128" s="1004" t="s">
        <v>66</v>
      </c>
      <c r="J128" s="1006"/>
      <c r="K128" s="1020"/>
      <c r="L128" s="1015" t="str">
        <f>IF(J128="1 Penulis (ke-1)",100%,IF(J128="2 Penulis (ke-1)",60%,IF(J128="2 Penulis (ke-2)",40%,IF(J128="3 Penulis (ke-1)",60%,IF(J128="3 Penulis (ke-2)",20%,IF(J128="3 Penulis (ke-3)",20%,IF(J128="4 Penulis (ke-1)",60%,IF(J128="4 Penulis (ke-2)",13.3%,IF(J128="4 Penulis (ke-3)",13.3%,IF(J128="4 Penulis (ke-4)",13.3%,"rumus"))))))))))</f>
        <v>rumus</v>
      </c>
      <c r="M128" s="1015" t="str">
        <f>IF(K128&lt;&gt;"",VLOOKUP(K128,List!$E$2:$F$23,2,0),"rumus")</f>
        <v>rumus</v>
      </c>
      <c r="N128" s="1018">
        <f t="shared" ref="N128" si="46">IFERROR(L128*M128,0)</f>
        <v>0</v>
      </c>
      <c r="O128" s="1014" t="e">
        <f>VLOOKUP(K128,List!$E$2:$G$23,3,0)</f>
        <v>#N/A</v>
      </c>
      <c r="P128" s="1020" t="str">
        <f>IF(RIGHT(J128,6)="(ke-1)","Penulis Utama",IF(J128="","","Pendamping"))</f>
        <v/>
      </c>
    </row>
    <row r="129" spans="1:16" s="7" customFormat="1" ht="52.5" hidden="1" customHeight="1" x14ac:dyDescent="0.45">
      <c r="A129" s="1008"/>
      <c r="B129" s="29" t="s">
        <v>76</v>
      </c>
      <c r="C129" s="187"/>
      <c r="D129" s="1005"/>
      <c r="E129" s="1005"/>
      <c r="F129" s="999"/>
      <c r="G129" s="1001"/>
      <c r="H129" s="999"/>
      <c r="I129" s="1005"/>
      <c r="J129" s="1006"/>
      <c r="K129" s="1021"/>
      <c r="L129" s="1016"/>
      <c r="M129" s="1017"/>
      <c r="N129" s="1018"/>
      <c r="O129" s="1014"/>
      <c r="P129" s="1021"/>
    </row>
    <row r="130" spans="1:16" s="7" customFormat="1" ht="15" hidden="1" customHeight="1" x14ac:dyDescent="0.45">
      <c r="A130" s="1007">
        <v>50</v>
      </c>
      <c r="B130" s="29" t="s">
        <v>75</v>
      </c>
      <c r="C130" s="84"/>
      <c r="D130" s="1004"/>
      <c r="E130" s="1004"/>
      <c r="F130" s="998" t="str">
        <f>IF(M130&lt;&gt;"rumus",L130&amp;" x "&amp;M130&amp;" = "&amp;L130*M130,"rumus")</f>
        <v>rumus</v>
      </c>
      <c r="G130" s="1000">
        <f>'Reviewer Eksternal (LK&amp;GB)1'!K115</f>
        <v>0</v>
      </c>
      <c r="H130" s="998"/>
      <c r="I130" s="1004" t="s">
        <v>66</v>
      </c>
      <c r="J130" s="1006"/>
      <c r="K130" s="1020"/>
      <c r="L130" s="1015" t="str">
        <f>IF(J130="1 Penulis (ke-1)",100%,IF(J130="2 Penulis (ke-1)",60%,IF(J130="2 Penulis (ke-2)",40%,IF(J130="3 Penulis (ke-1)",60%,IF(J130="3 Penulis (ke-2)",20%,IF(J130="3 Penulis (ke-3)",20%,IF(J130="4 Penulis (ke-1)",60%,IF(J130="4 Penulis (ke-2)",13.3%,IF(J130="4 Penulis (ke-3)",13.3%,IF(J130="4 Penulis (ke-4)",13.3%,"rumus"))))))))))</f>
        <v>rumus</v>
      </c>
      <c r="M130" s="1015" t="str">
        <f>IF(K130&lt;&gt;"",VLOOKUP(K130,List!$E$2:$F$23,2,0),"rumus")</f>
        <v>rumus</v>
      </c>
      <c r="N130" s="1018">
        <f t="shared" ref="N130" si="47">IFERROR(L130*M130,0)</f>
        <v>0</v>
      </c>
      <c r="O130" s="1014" t="e">
        <f>VLOOKUP(K130,List!$E$2:$G$23,3,0)</f>
        <v>#N/A</v>
      </c>
      <c r="P130" s="1020" t="str">
        <f>IF(RIGHT(J130,6)="(ke-1)","Penulis Utama",IF(J130="","","Pendamping"))</f>
        <v/>
      </c>
    </row>
    <row r="131" spans="1:16" s="7" customFormat="1" ht="55.5" hidden="1" customHeight="1" x14ac:dyDescent="0.45">
      <c r="A131" s="1008"/>
      <c r="B131" s="29" t="s">
        <v>76</v>
      </c>
      <c r="C131" s="187"/>
      <c r="D131" s="1005"/>
      <c r="E131" s="1005"/>
      <c r="F131" s="999"/>
      <c r="G131" s="1001"/>
      <c r="H131" s="999"/>
      <c r="I131" s="1005"/>
      <c r="J131" s="1006"/>
      <c r="K131" s="1021"/>
      <c r="L131" s="1016"/>
      <c r="M131" s="1017"/>
      <c r="N131" s="1018"/>
      <c r="O131" s="1014"/>
      <c r="P131" s="1021"/>
    </row>
    <row r="132" spans="1:16" s="7" customFormat="1" ht="27.75" customHeight="1" x14ac:dyDescent="0.45">
      <c r="A132" s="779" t="s">
        <v>788</v>
      </c>
      <c r="B132" s="780"/>
      <c r="C132" s="780"/>
      <c r="D132" s="780"/>
      <c r="E132" s="780"/>
      <c r="F132" s="780"/>
      <c r="G132" s="780"/>
      <c r="H132" s="780"/>
      <c r="I132" s="781"/>
      <c r="J132" s="776"/>
      <c r="K132" s="776"/>
      <c r="L132" s="777"/>
      <c r="M132" s="777"/>
      <c r="N132" s="778"/>
      <c r="O132" s="577"/>
    </row>
    <row r="133" spans="1:16" s="7" customFormat="1" ht="15" hidden="1" customHeight="1" x14ac:dyDescent="0.45">
      <c r="A133" s="1007">
        <v>51</v>
      </c>
      <c r="B133" s="29" t="s">
        <v>75</v>
      </c>
      <c r="C133" s="187"/>
      <c r="D133" s="1004"/>
      <c r="E133" s="1004"/>
      <c r="F133" s="998" t="str">
        <f>IF(M133&lt;&gt;"rumus",L133&amp;" x "&amp;M133&amp;" = "&amp;L133*M133,"rumus")</f>
        <v>rumus</v>
      </c>
      <c r="G133" s="1000">
        <f>'Reviewer Eksternal (LK&amp;GB)1'!K118</f>
        <v>0</v>
      </c>
      <c r="H133" s="998"/>
      <c r="I133" s="1013" t="s">
        <v>791</v>
      </c>
      <c r="J133" s="1006"/>
      <c r="K133" s="1020"/>
      <c r="L133" s="1015" t="str">
        <f>IF(J133="1 Penulis (ke-1)",100%,IF(J133="2 Penulis (ke-1)",60%,IF(J133="2 Penulis (ke-2)",40%,IF(J133="3 Penulis (ke-1)",60%,IF(J133="3 Penulis (ke-2)",20%,IF(J133="3 Penulis (ke-3)",20%,IF(J133="4 Penulis (ke-1)",60%,IF(J133="4 Penulis (ke-2)",13.3%,IF(J133="4 Penulis (ke-3)",13.3%,IF(J133="4 Penulis (ke-4)",13.3%,"rumus"))))))))))</f>
        <v>rumus</v>
      </c>
      <c r="M133" s="1015" t="str">
        <f>IF(K133&lt;&gt;"",VLOOKUP(K133,List!$E$2:$F$23,2,0),"rumus")</f>
        <v>rumus</v>
      </c>
      <c r="N133" s="1018">
        <f t="shared" ref="N133" si="48">IFERROR(L133*M133,0)</f>
        <v>0</v>
      </c>
      <c r="O133" s="1014" t="e">
        <f>VLOOKUP(K133,List!$E$2:$G$23,3,0)</f>
        <v>#N/A</v>
      </c>
      <c r="P133" s="1020" t="str">
        <f>IF(RIGHT(J133,6)="(ke-1)","Penulis Utama",IF(J133="","","Pendamping"))</f>
        <v/>
      </c>
    </row>
    <row r="134" spans="1:16" s="7" customFormat="1" ht="52.5" hidden="1" customHeight="1" x14ac:dyDescent="0.45">
      <c r="A134" s="1008"/>
      <c r="B134" s="29" t="s">
        <v>76</v>
      </c>
      <c r="C134" s="187"/>
      <c r="D134" s="1005"/>
      <c r="E134" s="1005"/>
      <c r="F134" s="999"/>
      <c r="G134" s="1001"/>
      <c r="H134" s="999"/>
      <c r="I134" s="1013"/>
      <c r="J134" s="1006"/>
      <c r="K134" s="1021"/>
      <c r="L134" s="1016"/>
      <c r="M134" s="1017"/>
      <c r="N134" s="1018"/>
      <c r="O134" s="1014"/>
      <c r="P134" s="1021"/>
    </row>
    <row r="135" spans="1:16" s="7" customFormat="1" ht="24.75" hidden="1" customHeight="1" x14ac:dyDescent="0.45">
      <c r="A135" s="1007">
        <v>52</v>
      </c>
      <c r="B135" s="29" t="s">
        <v>75</v>
      </c>
      <c r="C135" s="187"/>
      <c r="D135" s="1004"/>
      <c r="E135" s="1004"/>
      <c r="F135" s="998" t="str">
        <f>IF(M135&lt;&gt;"rumus",L135&amp;" x "&amp;M135&amp;" = "&amp;L135*M135,"rumus")</f>
        <v>rumus</v>
      </c>
      <c r="G135" s="1000">
        <f>'Reviewer Eksternal (LK&amp;GB)1'!K120</f>
        <v>0</v>
      </c>
      <c r="H135" s="998"/>
      <c r="I135" s="1004" t="s">
        <v>66</v>
      </c>
      <c r="J135" s="1006"/>
      <c r="K135" s="1020"/>
      <c r="L135" s="1015" t="str">
        <f>IF(J135="1 Penulis (ke-1)",100%,IF(J135="2 Penulis (ke-1)",60%,IF(J135="2 Penulis (ke-2)",40%,IF(J135="3 Penulis (ke-1)",60%,IF(J135="3 Penulis (ke-2)",20%,IF(J135="3 Penulis (ke-3)",20%,IF(J135="4 Penulis (ke-1)",60%,IF(J135="4 Penulis (ke-2)",13.3%,IF(J135="4 Penulis (ke-3)",13.3%,IF(J135="4 Penulis (ke-4)",13.3%,"rumus"))))))))))</f>
        <v>rumus</v>
      </c>
      <c r="M135" s="1015" t="str">
        <f>IF(K135&lt;&gt;"",VLOOKUP(K135,List!$E$2:$F$23,2,0),"rumus")</f>
        <v>rumus</v>
      </c>
      <c r="N135" s="1018">
        <f t="shared" ref="N135" si="49">IFERROR(L135*M135,0)</f>
        <v>0</v>
      </c>
      <c r="O135" s="1014" t="e">
        <f>VLOOKUP(K135,List!$E$2:$G$23,3,0)</f>
        <v>#N/A</v>
      </c>
      <c r="P135" s="1020" t="str">
        <f>IF(RIGHT(J135,6)="(ke-1)","Penulis Utama",IF(J135="","","Pendamping"))</f>
        <v/>
      </c>
    </row>
    <row r="136" spans="1:16" s="7" customFormat="1" ht="69.75" hidden="1" customHeight="1" x14ac:dyDescent="0.45">
      <c r="A136" s="1008"/>
      <c r="B136" s="29" t="s">
        <v>76</v>
      </c>
      <c r="C136" s="187"/>
      <c r="D136" s="1005"/>
      <c r="E136" s="1005"/>
      <c r="F136" s="999"/>
      <c r="G136" s="1001"/>
      <c r="H136" s="999"/>
      <c r="I136" s="1005"/>
      <c r="J136" s="1006"/>
      <c r="K136" s="1021"/>
      <c r="L136" s="1016"/>
      <c r="M136" s="1017"/>
      <c r="N136" s="1018"/>
      <c r="O136" s="1014"/>
      <c r="P136" s="1021"/>
    </row>
    <row r="137" spans="1:16" s="7" customFormat="1" ht="24.75" hidden="1" customHeight="1" x14ac:dyDescent="0.45">
      <c r="A137" s="1007">
        <v>53</v>
      </c>
      <c r="B137" s="29" t="s">
        <v>75</v>
      </c>
      <c r="C137" s="187"/>
      <c r="D137" s="1013"/>
      <c r="E137" s="1013"/>
      <c r="F137" s="998" t="str">
        <f>IF(M137&lt;&gt;"rumus",L137&amp;" x "&amp;M137&amp;" = "&amp;L137*M137,"rumus")</f>
        <v>rumus</v>
      </c>
      <c r="G137" s="1000">
        <f>'Reviewer Eksternal (LK&amp;GB)1'!K122</f>
        <v>0</v>
      </c>
      <c r="H137" s="998"/>
      <c r="I137" s="1013" t="s">
        <v>66</v>
      </c>
      <c r="J137" s="1006"/>
      <c r="K137" s="1006"/>
      <c r="L137" s="1015" t="str">
        <f>IF(J137="1 Penulis (ke-1)",100%,IF(J137="2 Penulis (ke-1)",60%,IF(J137="2 Penulis (ke-2)",40%,IF(J137="3 Penulis (ke-1)",60%,IF(J137="3 Penulis (ke-2)",20%,IF(J137="3 Penulis (ke-3)",20%,IF(J137="4 Penulis (ke-1)",60%,IF(J137="4 Penulis (ke-2)",13.3%,IF(J137="4 Penulis (ke-3)",13.3%,IF(J137="4 Penulis (ke-4)",13.3%,"rumus"))))))))))</f>
        <v>rumus</v>
      </c>
      <c r="M137" s="1015" t="str">
        <f>IF(K137&lt;&gt;"",VLOOKUP(K137,List!$E$2:$F$23,2,0),"rumus")</f>
        <v>rumus</v>
      </c>
      <c r="N137" s="1014">
        <f t="shared" ref="N137" si="50">IFERROR(L137*M137,0)</f>
        <v>0</v>
      </c>
      <c r="O137" s="1014" t="e">
        <f>VLOOKUP(K137,List!$E$2:$G$23,3,0)</f>
        <v>#N/A</v>
      </c>
      <c r="P137" s="1020" t="str">
        <f>IF(RIGHT(J137,6)="(ke-1)","Penulis Utama",IF(J137="","","Pendamping"))</f>
        <v/>
      </c>
    </row>
    <row r="138" spans="1:16" s="7" customFormat="1" ht="52.5" hidden="1" customHeight="1" x14ac:dyDescent="0.45">
      <c r="A138" s="1023"/>
      <c r="B138" s="29" t="s">
        <v>76</v>
      </c>
      <c r="C138" s="187"/>
      <c r="D138" s="1013"/>
      <c r="E138" s="1013"/>
      <c r="F138" s="999"/>
      <c r="G138" s="1001"/>
      <c r="H138" s="999"/>
      <c r="I138" s="1013"/>
      <c r="J138" s="1006"/>
      <c r="K138" s="1006"/>
      <c r="L138" s="1016"/>
      <c r="M138" s="1016"/>
      <c r="N138" s="1014"/>
      <c r="O138" s="1014"/>
      <c r="P138" s="1021"/>
    </row>
    <row r="139" spans="1:16" s="7" customFormat="1" ht="15" hidden="1" customHeight="1" x14ac:dyDescent="0.45">
      <c r="A139" s="1007">
        <v>54</v>
      </c>
      <c r="B139" s="29" t="s">
        <v>75</v>
      </c>
      <c r="C139" s="84"/>
      <c r="D139" s="1013"/>
      <c r="E139" s="1013"/>
      <c r="F139" s="998" t="str">
        <f>IF(M139&lt;&gt;"rumus",L139&amp;" x "&amp;M139&amp;" = "&amp;L139*M139,"rumus")</f>
        <v>rumus</v>
      </c>
      <c r="G139" s="1000">
        <f>'Reviewer Eksternal (LK&amp;GB)1'!K124</f>
        <v>0</v>
      </c>
      <c r="H139" s="998"/>
      <c r="I139" s="1013" t="s">
        <v>66</v>
      </c>
      <c r="J139" s="1006"/>
      <c r="K139" s="1006"/>
      <c r="L139" s="1015" t="str">
        <f>IF(J139="1 Penulis (ke-1)",100%,IF(J139="2 Penulis (ke-1)",60%,IF(J139="2 Penulis (ke-2)",40%,IF(J139="3 Penulis (ke-1)",60%,IF(J139="3 Penulis (ke-2)",20%,IF(J139="3 Penulis (ke-3)",20%,IF(J139="4 Penulis (ke-1)",60%,IF(J139="4 Penulis (ke-2)",13.3%,IF(J139="4 Penulis (ke-3)",13.3%,IF(J139="4 Penulis (ke-4)",13.3%,"rumus"))))))))))</f>
        <v>rumus</v>
      </c>
      <c r="M139" s="1015" t="str">
        <f>IF(K139&lt;&gt;"",VLOOKUP(K139,List!$E$2:$F$23,2,0),"rumus")</f>
        <v>rumus</v>
      </c>
      <c r="N139" s="1014">
        <f t="shared" ref="N139" si="51">IFERROR(L139*M139,0)</f>
        <v>0</v>
      </c>
      <c r="O139" s="1014" t="e">
        <f>VLOOKUP(K139,List!$E$2:$G$23,3,0)</f>
        <v>#N/A</v>
      </c>
      <c r="P139" s="1020" t="str">
        <f>IF(RIGHT(J139,6)="(ke-1)","Penulis Utama",IF(J139="","","Pendamping"))</f>
        <v/>
      </c>
    </row>
    <row r="140" spans="1:16" s="7" customFormat="1" ht="55.5" hidden="1" customHeight="1" x14ac:dyDescent="0.45">
      <c r="A140" s="1023"/>
      <c r="B140" s="29" t="s">
        <v>76</v>
      </c>
      <c r="C140" s="187"/>
      <c r="D140" s="1013"/>
      <c r="E140" s="1013"/>
      <c r="F140" s="999"/>
      <c r="G140" s="1001"/>
      <c r="H140" s="999"/>
      <c r="I140" s="1013"/>
      <c r="J140" s="1006"/>
      <c r="K140" s="1006"/>
      <c r="L140" s="1016"/>
      <c r="M140" s="1016"/>
      <c r="N140" s="1014"/>
      <c r="O140" s="1014"/>
      <c r="P140" s="1021"/>
    </row>
    <row r="141" spans="1:16" s="7" customFormat="1" ht="15" hidden="1" customHeight="1" x14ac:dyDescent="0.45">
      <c r="A141" s="1007">
        <v>55</v>
      </c>
      <c r="B141" s="29" t="s">
        <v>75</v>
      </c>
      <c r="C141" s="187"/>
      <c r="D141" s="1013"/>
      <c r="E141" s="1013"/>
      <c r="F141" s="998" t="str">
        <f>IF(M141&lt;&gt;"rumus",L141&amp;" x "&amp;M141&amp;" = "&amp;L141*M141,"rumus")</f>
        <v>rumus</v>
      </c>
      <c r="G141" s="1000">
        <f>'Reviewer Eksternal (LK&amp;GB)1'!K126</f>
        <v>0</v>
      </c>
      <c r="H141" s="998"/>
      <c r="I141" s="1013" t="s">
        <v>66</v>
      </c>
      <c r="J141" s="1006"/>
      <c r="K141" s="1006"/>
      <c r="L141" s="1015" t="str">
        <f>IF(J141="1 Penulis (ke-1)",100%,IF(J141="2 Penulis (ke-1)",60%,IF(J141="2 Penulis (ke-2)",40%,IF(J141="3 Penulis (ke-1)",60%,IF(J141="3 Penulis (ke-2)",20%,IF(J141="3 Penulis (ke-3)",20%,IF(J141="4 Penulis (ke-1)",60%,IF(J141="4 Penulis (ke-2)",13.3%,IF(J141="4 Penulis (ke-3)",13.3%,IF(J141="4 Penulis (ke-4)",13.3%,"rumus"))))))))))</f>
        <v>rumus</v>
      </c>
      <c r="M141" s="1015" t="str">
        <f>IF(K141&lt;&gt;"",VLOOKUP(K141,List!$E$2:$F$23,2,0),"rumus")</f>
        <v>rumus</v>
      </c>
      <c r="N141" s="1014">
        <f t="shared" ref="N141" si="52">IFERROR(L141*M141,0)</f>
        <v>0</v>
      </c>
      <c r="O141" s="1014" t="e">
        <f>VLOOKUP(K141,List!$E$2:$G$23,3,0)</f>
        <v>#N/A</v>
      </c>
      <c r="P141" s="1020" t="str">
        <f>IF(RIGHT(J141,6)="(ke-1)","Penulis Utama",IF(J141="","","Pendamping"))</f>
        <v/>
      </c>
    </row>
    <row r="142" spans="1:16" s="7" customFormat="1" ht="52.5" hidden="1" customHeight="1" x14ac:dyDescent="0.45">
      <c r="A142" s="1023"/>
      <c r="B142" s="29" t="s">
        <v>76</v>
      </c>
      <c r="C142" s="187"/>
      <c r="D142" s="1013"/>
      <c r="E142" s="1013"/>
      <c r="F142" s="999"/>
      <c r="G142" s="1001"/>
      <c r="H142" s="999"/>
      <c r="I142" s="1013"/>
      <c r="J142" s="1006"/>
      <c r="K142" s="1006"/>
      <c r="L142" s="1016"/>
      <c r="M142" s="1016"/>
      <c r="N142" s="1014"/>
      <c r="O142" s="1014"/>
      <c r="P142" s="1021"/>
    </row>
    <row r="143" spans="1:16" s="7" customFormat="1" ht="27.75" customHeight="1" x14ac:dyDescent="0.45">
      <c r="A143" s="779" t="s">
        <v>789</v>
      </c>
      <c r="B143" s="780"/>
      <c r="C143" s="780"/>
      <c r="D143" s="780"/>
      <c r="E143" s="780"/>
      <c r="F143" s="780"/>
      <c r="G143" s="780"/>
      <c r="H143" s="780"/>
      <c r="I143" s="781"/>
      <c r="J143" s="776"/>
      <c r="K143" s="776"/>
      <c r="L143" s="777"/>
      <c r="M143" s="777"/>
      <c r="N143" s="778"/>
      <c r="O143" s="577"/>
    </row>
    <row r="144" spans="1:16" s="7" customFormat="1" ht="15" hidden="1" customHeight="1" x14ac:dyDescent="0.45">
      <c r="A144" s="1007">
        <v>56</v>
      </c>
      <c r="B144" s="29" t="s">
        <v>75</v>
      </c>
      <c r="C144" s="84"/>
      <c r="D144" s="1013"/>
      <c r="E144" s="1013"/>
      <c r="F144" s="998" t="str">
        <f>IF(M144&lt;&gt;"rumus",L144&amp;" x "&amp;M144&amp;" = "&amp;L144*M144,"rumus")</f>
        <v>rumus</v>
      </c>
      <c r="G144" s="1000">
        <f>'Reviewer Eksternal (LK&amp;GB)1'!K129</f>
        <v>0</v>
      </c>
      <c r="H144" s="998"/>
      <c r="I144" s="1013" t="s">
        <v>792</v>
      </c>
      <c r="J144" s="1006"/>
      <c r="K144" s="1006"/>
      <c r="L144" s="1015" t="str">
        <f>IF(J144="1 Penulis (ke-1)",100%,IF(J144="2 Penulis (ke-1)",60%,IF(J144="2 Penulis (ke-2)",40%,IF(J144="3 Penulis (ke-1)",60%,IF(J144="3 Penulis (ke-2)",20%,IF(J144="3 Penulis (ke-3)",20%,IF(J144="4 Penulis (ke-1)",60%,IF(J144="4 Penulis (ke-2)",13.3%,IF(J144="4 Penulis (ke-3)",13.3%,IF(J144="4 Penulis (ke-4)",13.3%,"rumus"))))))))))</f>
        <v>rumus</v>
      </c>
      <c r="M144" s="1015" t="str">
        <f>IF(K144&lt;&gt;"",VLOOKUP(K144,List!$E$2:$F$23,2,0),"rumus")</f>
        <v>rumus</v>
      </c>
      <c r="N144" s="1014">
        <f t="shared" ref="N144" si="53">IFERROR(L144*M144,0)</f>
        <v>0</v>
      </c>
      <c r="O144" s="1014" t="e">
        <f>VLOOKUP(K144,List!$E$2:$G$23,3,0)</f>
        <v>#N/A</v>
      </c>
      <c r="P144" s="1020" t="str">
        <f>IF(RIGHT(J144,6)="(ke-1)","Penulis Utama",IF(J144="","","Pendamping"))</f>
        <v/>
      </c>
    </row>
    <row r="145" spans="1:16" s="7" customFormat="1" ht="55.5" hidden="1" customHeight="1" x14ac:dyDescent="0.45">
      <c r="A145" s="1023"/>
      <c r="B145" s="29" t="s">
        <v>76</v>
      </c>
      <c r="C145" s="187"/>
      <c r="D145" s="1013"/>
      <c r="E145" s="1013"/>
      <c r="F145" s="999"/>
      <c r="G145" s="1001"/>
      <c r="H145" s="999"/>
      <c r="I145" s="1013"/>
      <c r="J145" s="1006"/>
      <c r="K145" s="1006"/>
      <c r="L145" s="1016"/>
      <c r="M145" s="1016"/>
      <c r="N145" s="1014"/>
      <c r="O145" s="1014"/>
      <c r="P145" s="1021"/>
    </row>
    <row r="146" spans="1:16" s="7" customFormat="1" ht="15" hidden="1" customHeight="1" x14ac:dyDescent="0.45">
      <c r="A146" s="1007">
        <v>57</v>
      </c>
      <c r="B146" s="29" t="s">
        <v>75</v>
      </c>
      <c r="C146" s="187"/>
      <c r="D146" s="1013"/>
      <c r="E146" s="1013"/>
      <c r="F146" s="998" t="str">
        <f>IF(M146&lt;&gt;"rumus",L146&amp;" x "&amp;M146&amp;" = "&amp;L146*M146,"rumus")</f>
        <v>rumus</v>
      </c>
      <c r="G146" s="1000">
        <f>'Reviewer Eksternal (LK&amp;GB)1'!K131</f>
        <v>0</v>
      </c>
      <c r="H146" s="998"/>
      <c r="I146" s="1013" t="s">
        <v>66</v>
      </c>
      <c r="J146" s="1006"/>
      <c r="K146" s="1006"/>
      <c r="L146" s="1015" t="str">
        <f>IF(J146="1 Penulis (ke-1)",100%,IF(J146="2 Penulis (ke-1)",60%,IF(J146="2 Penulis (ke-2)",40%,IF(J146="3 Penulis (ke-1)",60%,IF(J146="3 Penulis (ke-2)",20%,IF(J146="3 Penulis (ke-3)",20%,IF(J146="4 Penulis (ke-1)",60%,IF(J146="4 Penulis (ke-2)",13.3%,IF(J146="4 Penulis (ke-3)",13.3%,IF(J146="4 Penulis (ke-4)",13.3%,"rumus"))))))))))</f>
        <v>rumus</v>
      </c>
      <c r="M146" s="1015" t="str">
        <f>IF(K146&lt;&gt;"",VLOOKUP(K146,List!$E$2:$F$23,2,0),"rumus")</f>
        <v>rumus</v>
      </c>
      <c r="N146" s="1014">
        <f t="shared" ref="N146" si="54">IFERROR(L146*M146,0)</f>
        <v>0</v>
      </c>
      <c r="O146" s="1014" t="e">
        <f>VLOOKUP(K146,List!$E$2:$G$23,3,0)</f>
        <v>#N/A</v>
      </c>
      <c r="P146" s="1020" t="str">
        <f>IF(RIGHT(J146,6)="(ke-1)","Penulis Utama",IF(J146="","","Pendamping"))</f>
        <v/>
      </c>
    </row>
    <row r="147" spans="1:16" s="7" customFormat="1" ht="52.5" hidden="1" customHeight="1" x14ac:dyDescent="0.45">
      <c r="A147" s="1023"/>
      <c r="B147" s="29" t="s">
        <v>76</v>
      </c>
      <c r="C147" s="187"/>
      <c r="D147" s="1013"/>
      <c r="E147" s="1013"/>
      <c r="F147" s="999"/>
      <c r="G147" s="1001"/>
      <c r="H147" s="999"/>
      <c r="I147" s="1013"/>
      <c r="J147" s="1006"/>
      <c r="K147" s="1006"/>
      <c r="L147" s="1016"/>
      <c r="M147" s="1016"/>
      <c r="N147" s="1014"/>
      <c r="O147" s="1014"/>
      <c r="P147" s="1021"/>
    </row>
    <row r="148" spans="1:16" s="7" customFormat="1" ht="15" hidden="1" customHeight="1" x14ac:dyDescent="0.45">
      <c r="A148" s="1007">
        <v>58</v>
      </c>
      <c r="B148" s="29" t="s">
        <v>75</v>
      </c>
      <c r="C148" s="84"/>
      <c r="D148" s="1013"/>
      <c r="E148" s="1013"/>
      <c r="F148" s="998" t="str">
        <f>IF(M148&lt;&gt;"rumus",L148&amp;" x "&amp;M148&amp;" = "&amp;L148*M148,"rumus")</f>
        <v>rumus</v>
      </c>
      <c r="G148" s="1000">
        <f>'Reviewer Eksternal (LK&amp;GB)1'!K133</f>
        <v>0</v>
      </c>
      <c r="H148" s="998"/>
      <c r="I148" s="1013" t="s">
        <v>66</v>
      </c>
      <c r="J148" s="1006"/>
      <c r="K148" s="1006"/>
      <c r="L148" s="1015" t="str">
        <f>IF(J148="1 Penulis (ke-1)",100%,IF(J148="2 Penulis (ke-1)",60%,IF(J148="2 Penulis (ke-2)",40%,IF(J148="3 Penulis (ke-1)",60%,IF(J148="3 Penulis (ke-2)",20%,IF(J148="3 Penulis (ke-3)",20%,IF(J148="4 Penulis (ke-1)",60%,IF(J148="4 Penulis (ke-2)",13.3%,IF(J148="4 Penulis (ke-3)",13.3%,IF(J148="4 Penulis (ke-4)",13.3%,"rumus"))))))))))</f>
        <v>rumus</v>
      </c>
      <c r="M148" s="1015" t="str">
        <f>IF(K148&lt;&gt;"",VLOOKUP(K148,List!$E$2:$F$23,2,0),"rumus")</f>
        <v>rumus</v>
      </c>
      <c r="N148" s="1014">
        <f t="shared" ref="N148" si="55">IFERROR(L148*M148,0)</f>
        <v>0</v>
      </c>
      <c r="O148" s="1014" t="e">
        <f>VLOOKUP(K148,List!$E$2:$G$23,3,0)</f>
        <v>#N/A</v>
      </c>
      <c r="P148" s="1020" t="str">
        <f>IF(RIGHT(J148,6)="(ke-1)","Penulis Utama",IF(J148="","","Pendamping"))</f>
        <v/>
      </c>
    </row>
    <row r="149" spans="1:16" s="7" customFormat="1" ht="55.5" hidden="1" customHeight="1" x14ac:dyDescent="0.45">
      <c r="A149" s="1023"/>
      <c r="B149" s="29" t="s">
        <v>76</v>
      </c>
      <c r="C149" s="187"/>
      <c r="D149" s="1013"/>
      <c r="E149" s="1013"/>
      <c r="F149" s="999"/>
      <c r="G149" s="1001"/>
      <c r="H149" s="999"/>
      <c r="I149" s="1013"/>
      <c r="J149" s="1006"/>
      <c r="K149" s="1006"/>
      <c r="L149" s="1016"/>
      <c r="M149" s="1016"/>
      <c r="N149" s="1014"/>
      <c r="O149" s="1014"/>
      <c r="P149" s="1021"/>
    </row>
    <row r="150" spans="1:16" s="7" customFormat="1" ht="15" hidden="1" customHeight="1" x14ac:dyDescent="0.45">
      <c r="A150" s="1007">
        <v>59</v>
      </c>
      <c r="B150" s="29" t="s">
        <v>75</v>
      </c>
      <c r="C150" s="187"/>
      <c r="D150" s="1013"/>
      <c r="E150" s="1013"/>
      <c r="F150" s="998" t="str">
        <f>IF(M150&lt;&gt;"rumus",L150&amp;" x "&amp;M150&amp;" = "&amp;L150*M150,"rumus")</f>
        <v>rumus</v>
      </c>
      <c r="G150" s="1000">
        <f>'Reviewer Eksternal (LK&amp;GB)1'!K135</f>
        <v>0</v>
      </c>
      <c r="H150" s="998"/>
      <c r="I150" s="1013" t="s">
        <v>66</v>
      </c>
      <c r="J150" s="1006"/>
      <c r="K150" s="1006"/>
      <c r="L150" s="1015" t="str">
        <f>IF(J150="1 Penulis (ke-1)",100%,IF(J150="2 Penulis (ke-1)",60%,IF(J150="2 Penulis (ke-2)",40%,IF(J150="3 Penulis (ke-1)",60%,IF(J150="3 Penulis (ke-2)",20%,IF(J150="3 Penulis (ke-3)",20%,IF(J150="4 Penulis (ke-1)",60%,IF(J150="4 Penulis (ke-2)",13.3%,IF(J150="4 Penulis (ke-3)",13.3%,IF(J150="4 Penulis (ke-4)",13.3%,"rumus"))))))))))</f>
        <v>rumus</v>
      </c>
      <c r="M150" s="1015" t="str">
        <f>IF(K150&lt;&gt;"",VLOOKUP(K150,List!$E$2:$F$23,2,0),"rumus")</f>
        <v>rumus</v>
      </c>
      <c r="N150" s="1014">
        <f t="shared" ref="N150" si="56">IFERROR(L150*M150,0)</f>
        <v>0</v>
      </c>
      <c r="O150" s="1014" t="e">
        <f>VLOOKUP(K150,List!$E$2:$G$23,3,0)</f>
        <v>#N/A</v>
      </c>
      <c r="P150" s="1020" t="str">
        <f>IF(RIGHT(J150,6)="(ke-1)","Penulis Utama",IF(J150="","","Pendamping"))</f>
        <v/>
      </c>
    </row>
    <row r="151" spans="1:16" s="7" customFormat="1" ht="52.5" hidden="1" customHeight="1" x14ac:dyDescent="0.45">
      <c r="A151" s="1023"/>
      <c r="B151" s="29" t="s">
        <v>76</v>
      </c>
      <c r="C151" s="187"/>
      <c r="D151" s="1013"/>
      <c r="E151" s="1013"/>
      <c r="F151" s="999"/>
      <c r="G151" s="1001"/>
      <c r="H151" s="999"/>
      <c r="I151" s="1013"/>
      <c r="J151" s="1006"/>
      <c r="K151" s="1006"/>
      <c r="L151" s="1016"/>
      <c r="M151" s="1016"/>
      <c r="N151" s="1014"/>
      <c r="O151" s="1014"/>
      <c r="P151" s="1021"/>
    </row>
    <row r="152" spans="1:16" s="7" customFormat="1" ht="24.75" hidden="1" customHeight="1" x14ac:dyDescent="0.45">
      <c r="A152" s="1007">
        <v>60</v>
      </c>
      <c r="B152" s="29" t="s">
        <v>75</v>
      </c>
      <c r="C152" s="187"/>
      <c r="D152" s="1013"/>
      <c r="E152" s="1013"/>
      <c r="F152" s="998" t="str">
        <f>IF(M152&lt;&gt;"rumus",L152&amp;" x "&amp;M152&amp;" = "&amp;L152*M152,"rumus")</f>
        <v>rumus</v>
      </c>
      <c r="G152" s="1000">
        <f>'Reviewer Eksternal (LK&amp;GB)1'!K137</f>
        <v>0</v>
      </c>
      <c r="H152" s="998"/>
      <c r="I152" s="1013" t="s">
        <v>66</v>
      </c>
      <c r="J152" s="1006"/>
      <c r="K152" s="1006"/>
      <c r="L152" s="1015" t="str">
        <f>IF(J152="1 Penulis (ke-1)",100%,IF(J152="2 Penulis (ke-1)",60%,IF(J152="2 Penulis (ke-2)",40%,IF(J152="3 Penulis (ke-1)",60%,IF(J152="3 Penulis (ke-2)",20%,IF(J152="3 Penulis (ke-3)",20%,IF(J152="4 Penulis (ke-1)",60%,IF(J152="4 Penulis (ke-2)",13.3%,IF(J152="4 Penulis (ke-3)",13.3%,IF(J152="4 Penulis (ke-4)",13.3%,"rumus"))))))))))</f>
        <v>rumus</v>
      </c>
      <c r="M152" s="1015" t="str">
        <f>IF(K152&lt;&gt;"",VLOOKUP(K152,List!$E$2:$F$23,2,0),"rumus")</f>
        <v>rumus</v>
      </c>
      <c r="N152" s="1014">
        <f t="shared" ref="N152" si="57">IFERROR(L152*M152,0)</f>
        <v>0</v>
      </c>
      <c r="O152" s="1014" t="e">
        <f>VLOOKUP(K152,List!$E$2:$G$23,3,0)</f>
        <v>#N/A</v>
      </c>
      <c r="P152" s="1020" t="str">
        <f>IF(RIGHT(J152,6)="(ke-1)","Penulis Utama",IF(J152="","","Pendamping"))</f>
        <v/>
      </c>
    </row>
    <row r="153" spans="1:16" s="7" customFormat="1" ht="69.75" hidden="1" customHeight="1" x14ac:dyDescent="0.45">
      <c r="A153" s="1023"/>
      <c r="B153" s="29" t="s">
        <v>76</v>
      </c>
      <c r="C153" s="187"/>
      <c r="D153" s="1013"/>
      <c r="E153" s="1013"/>
      <c r="F153" s="999"/>
      <c r="G153" s="1001"/>
      <c r="H153" s="1037"/>
      <c r="I153" s="1013"/>
      <c r="J153" s="1006"/>
      <c r="K153" s="1006"/>
      <c r="L153" s="1016"/>
      <c r="M153" s="1016"/>
      <c r="N153" s="1014"/>
      <c r="O153" s="1014"/>
      <c r="P153" s="1021"/>
    </row>
    <row r="154" spans="1:16" s="7" customFormat="1" ht="15.75" hidden="1" x14ac:dyDescent="0.45">
      <c r="A154" s="79"/>
      <c r="B154" s="1038" t="s">
        <v>67</v>
      </c>
      <c r="C154" s="969"/>
      <c r="D154" s="969"/>
      <c r="E154" s="969"/>
      <c r="F154" s="970"/>
      <c r="G154" s="273">
        <f>SUM($G$29:$G$153)</f>
        <v>0</v>
      </c>
      <c r="H154" s="273">
        <f>SUMPRODUCT(L29:L153,M29:M153)</f>
        <v>63.134999999999998</v>
      </c>
      <c r="I154" s="260"/>
      <c r="J154" s="267"/>
      <c r="K154" s="267"/>
      <c r="L154" s="267"/>
      <c r="M154" s="267"/>
      <c r="N154" s="78"/>
    </row>
    <row r="155" spans="1:16" s="7" customFormat="1" ht="15" hidden="1" customHeight="1" x14ac:dyDescent="0.45">
      <c r="A155" s="86" t="s">
        <v>17</v>
      </c>
      <c r="B155" s="22" t="s">
        <v>65</v>
      </c>
      <c r="C155" s="31"/>
      <c r="D155" s="31"/>
      <c r="E155" s="31"/>
      <c r="F155" s="31"/>
      <c r="G155" s="31"/>
      <c r="H155" s="31"/>
      <c r="I155" s="32"/>
      <c r="J155" s="76"/>
      <c r="K155" s="268"/>
      <c r="L155" s="268"/>
      <c r="M155" s="268"/>
    </row>
    <row r="156" spans="1:16" s="7" customFormat="1" ht="15" hidden="1" customHeight="1" x14ac:dyDescent="0.45">
      <c r="A156" s="1007">
        <v>1</v>
      </c>
      <c r="B156" s="29" t="s">
        <v>75</v>
      </c>
      <c r="C156" s="188"/>
      <c r="D156" s="1040"/>
      <c r="E156" s="998" t="s">
        <v>66</v>
      </c>
      <c r="F156" s="998" t="str">
        <f>IF(M156&lt;&gt;"rumus",L156&amp;" x "&amp;M156&amp;" = "&amp;L156*M156,"rumus")</f>
        <v>rumus</v>
      </c>
      <c r="G156" s="1013" t="str">
        <f t="shared" ref="G156" si="58">IF(M156&lt;&gt;"RUMUS",M156,"")</f>
        <v/>
      </c>
      <c r="H156" s="998"/>
      <c r="I156" s="998" t="s">
        <v>66</v>
      </c>
      <c r="J156" s="1006"/>
      <c r="K156" s="1025"/>
      <c r="L156" s="1026" t="str">
        <f>IF(J156="1 Penulis",100%,IF(J156="2 Penulis (ke-1)",60%,IF(J156="2 Penulis (ke-2)",40%,IF(J156="3 Penulis (ke-1)",60%,IF(J156="3 Penulis (ke-2)",20%,IF(J156="3 Penulis (ke-3)",20%,IF(J156="4 Penulis (ke-1)",60%,IF(J156="4 Penulis (ke-2)",13.3%,IF(J156="4 Penulis (ke-3)",13.3%,IF(J156="4 Penulis (ke-4)",13.3%,"rumus"))))))))))</f>
        <v>rumus</v>
      </c>
      <c r="M156" s="1026" t="str">
        <f>IF(K156="Menerjemahkan/menyadur BUKU ILMIAH persemester",15,"rumus")</f>
        <v>rumus</v>
      </c>
    </row>
    <row r="157" spans="1:16" s="7" customFormat="1" ht="51" hidden="1" customHeight="1" x14ac:dyDescent="0.45">
      <c r="A157" s="1023"/>
      <c r="B157" s="29" t="s">
        <v>76</v>
      </c>
      <c r="C157" s="188"/>
      <c r="D157" s="1040"/>
      <c r="E157" s="999"/>
      <c r="F157" s="1037"/>
      <c r="G157" s="1013"/>
      <c r="H157" s="1037"/>
      <c r="I157" s="999"/>
      <c r="J157" s="1006"/>
      <c r="K157" s="1025"/>
      <c r="L157" s="1026"/>
      <c r="M157" s="1026"/>
    </row>
    <row r="158" spans="1:16" s="7" customFormat="1" ht="15" hidden="1" customHeight="1" x14ac:dyDescent="0.45">
      <c r="A158" s="1007">
        <v>2</v>
      </c>
      <c r="B158" s="29" t="s">
        <v>75</v>
      </c>
      <c r="C158" s="188"/>
      <c r="D158" s="1040"/>
      <c r="E158" s="998" t="s">
        <v>66</v>
      </c>
      <c r="F158" s="998" t="str">
        <f>IF(M158&lt;&gt;"rumus",L158&amp;" x "&amp;M158&amp;" = "&amp;L158*M158,"rumus")</f>
        <v>rumus</v>
      </c>
      <c r="G158" s="1013" t="str">
        <f t="shared" ref="G158" si="59">IF(M158&lt;&gt;"RUMUS",M158,"")</f>
        <v/>
      </c>
      <c r="H158" s="998"/>
      <c r="I158" s="998" t="s">
        <v>66</v>
      </c>
      <c r="J158" s="1006"/>
      <c r="K158" s="1025"/>
      <c r="L158" s="1026" t="str">
        <f>IF(J158="1 Penulis",100%,IF(J158="2 Penulis (ke-1)",60%,IF(J158="2 Penulis (ke-2)",40%,IF(J158="3 Penulis (ke-1)",60%,IF(J158="3 Penulis (ke-2)",20%,IF(J158="3 Penulis (ke-3)",20%,IF(J158="4 Penulis (ke-1)",60%,IF(J158="4 Penulis (ke-2)",13.3%,IF(J158="4 Penulis (ke-3)",13.3%,IF(J158="4 Penulis (ke-4)",13.3%,"rumus"))))))))))</f>
        <v>rumus</v>
      </c>
      <c r="M158" s="1026" t="str">
        <f>IF(K158="Menerjemahkan/menyadur BUKU ILMIAH persemester",15,"rumus")</f>
        <v>rumus</v>
      </c>
    </row>
    <row r="159" spans="1:16" s="7" customFormat="1" ht="51" hidden="1" customHeight="1" x14ac:dyDescent="0.45">
      <c r="A159" s="1023"/>
      <c r="B159" s="29" t="s">
        <v>76</v>
      </c>
      <c r="C159" s="188"/>
      <c r="D159" s="1040"/>
      <c r="E159" s="999"/>
      <c r="F159" s="1037"/>
      <c r="G159" s="1013"/>
      <c r="H159" s="1037"/>
      <c r="I159" s="999"/>
      <c r="J159" s="1006"/>
      <c r="K159" s="1025"/>
      <c r="L159" s="1026"/>
      <c r="M159" s="1026"/>
    </row>
    <row r="160" spans="1:16" s="7" customFormat="1" ht="15.75" x14ac:dyDescent="0.45">
      <c r="A160" s="79"/>
      <c r="B160" s="1055" t="s">
        <v>67</v>
      </c>
      <c r="C160" s="1055"/>
      <c r="D160" s="1055"/>
      <c r="E160" s="1055"/>
      <c r="F160" s="1055"/>
      <c r="G160" s="1055"/>
      <c r="H160" s="273">
        <f>SUMPRODUCT(L29:L155,M29:M155)</f>
        <v>63.134999999999998</v>
      </c>
      <c r="I160" s="77"/>
      <c r="J160" s="267"/>
      <c r="K160" s="267"/>
      <c r="L160" s="267"/>
      <c r="M160" s="267"/>
      <c r="N160" s="78"/>
    </row>
    <row r="161" spans="1:15" s="7" customFormat="1" ht="15" customHeight="1" x14ac:dyDescent="0.45">
      <c r="A161" s="86" t="s">
        <v>118</v>
      </c>
      <c r="B161" s="21" t="s">
        <v>24</v>
      </c>
      <c r="C161" s="83"/>
      <c r="D161" s="83"/>
      <c r="E161" s="83"/>
      <c r="F161" s="83"/>
      <c r="G161" s="83"/>
      <c r="H161" s="83"/>
      <c r="I161" s="84"/>
      <c r="J161" s="76"/>
      <c r="K161" s="268"/>
      <c r="L161" s="268"/>
      <c r="M161" s="268"/>
    </row>
    <row r="162" spans="1:15" s="7" customFormat="1" ht="15" hidden="1" customHeight="1" x14ac:dyDescent="0.45">
      <c r="A162" s="1007">
        <v>1</v>
      </c>
      <c r="B162" s="29" t="s">
        <v>75</v>
      </c>
      <c r="C162" s="188"/>
      <c r="D162" s="1024"/>
      <c r="E162" s="998" t="s">
        <v>66</v>
      </c>
      <c r="F162" s="998" t="str">
        <f>IF(M162&lt;&gt;"rumus",L162&amp;" x "&amp;M162&amp;" = "&amp;L162*M162,"rumus")</f>
        <v>rumus</v>
      </c>
      <c r="G162" s="1013" t="str">
        <f t="shared" ref="G162" si="60">IF(M162&lt;&gt;"RUMUS",M162,"")</f>
        <v/>
      </c>
      <c r="H162" s="998"/>
      <c r="I162" s="998" t="s">
        <v>66</v>
      </c>
      <c r="J162" s="1006"/>
      <c r="K162" s="1025"/>
      <c r="L162" s="1026" t="str">
        <f>IF(J162="1 Penulis",100%,IF(J162="2 Penulis (ke-1)",60%,IF(J162="2 Penulis (ke-2)",40%,IF(J162="3 Penulis (ke-1)",60%,IF(J162="3 Penulis (ke-2)",20%,IF(J162="3 Penulis (ke-3)",20%,IF(J162="4 Penulis (ke-1)",60%,IF(J162="4 Penulis (ke-2)",13.3%,IF(J162="4 Penulis (ke-3)",13.3%,IF(J162="4 Penulis (ke-4)",13.3%,"rumus"))))))))))</f>
        <v>rumus</v>
      </c>
      <c r="M162" s="1026" t="str">
        <f>IF(K162="Mengedit/menyunting karya ilmiah persemester",10,"rumus")</f>
        <v>rumus</v>
      </c>
    </row>
    <row r="163" spans="1:15" s="7" customFormat="1" ht="51" hidden="1" customHeight="1" x14ac:dyDescent="0.45">
      <c r="A163" s="1023"/>
      <c r="B163" s="29" t="s">
        <v>76</v>
      </c>
      <c r="C163" s="188"/>
      <c r="D163" s="1024"/>
      <c r="E163" s="999"/>
      <c r="F163" s="999"/>
      <c r="G163" s="1013"/>
      <c r="H163" s="999"/>
      <c r="I163" s="999"/>
      <c r="J163" s="1006"/>
      <c r="K163" s="1025"/>
      <c r="L163" s="1026"/>
      <c r="M163" s="1026"/>
    </row>
    <row r="164" spans="1:15" s="7" customFormat="1" ht="15" hidden="1" customHeight="1" x14ac:dyDescent="0.45">
      <c r="A164" s="1007">
        <v>1</v>
      </c>
      <c r="B164" s="29" t="s">
        <v>75</v>
      </c>
      <c r="C164" s="188"/>
      <c r="D164" s="1024"/>
      <c r="E164" s="998" t="s">
        <v>66</v>
      </c>
      <c r="F164" s="998" t="str">
        <f>IF(M164&lt;&gt;"rumus",L164&amp;" x "&amp;M164&amp;" = "&amp;L164*M164,"rumus")</f>
        <v>rumus</v>
      </c>
      <c r="G164" s="1013" t="str">
        <f t="shared" ref="G164" si="61">IF(M164&lt;&gt;"RUMUS",M164,"")</f>
        <v/>
      </c>
      <c r="H164" s="998"/>
      <c r="I164" s="998" t="s">
        <v>66</v>
      </c>
      <c r="J164" s="1006"/>
      <c r="K164" s="1025"/>
      <c r="L164" s="1026" t="str">
        <f>IF(J164="1 Penulis",100%,IF(J164="2 Penulis (ke-1)",60%,IF(J164="2 Penulis (ke-2)",40%,IF(J164="3 Penulis (ke-1)",60%,IF(J164="3 Penulis (ke-2)",20%,IF(J164="3 Penulis (ke-3)",20%,IF(J164="4 Penulis (ke-1)",60%,IF(J164="4 Penulis (ke-2)",13.3%,IF(J164="4 Penulis (ke-3)",13.3%,IF(J164="4 Penulis (ke-4)",13.3%,"rumus"))))))))))</f>
        <v>rumus</v>
      </c>
      <c r="M164" s="1026" t="str">
        <f>IF(K164="Mengedit/menyunting karya ilmiah persemester",10,"rumus")</f>
        <v>rumus</v>
      </c>
    </row>
    <row r="165" spans="1:15" s="7" customFormat="1" ht="51" hidden="1" customHeight="1" x14ac:dyDescent="0.45">
      <c r="A165" s="1023"/>
      <c r="B165" s="29" t="s">
        <v>76</v>
      </c>
      <c r="C165" s="188"/>
      <c r="D165" s="1024"/>
      <c r="E165" s="999"/>
      <c r="F165" s="999"/>
      <c r="G165" s="1013"/>
      <c r="H165" s="999"/>
      <c r="I165" s="999"/>
      <c r="J165" s="1006"/>
      <c r="K165" s="1025"/>
      <c r="L165" s="1026"/>
      <c r="M165" s="1026"/>
    </row>
    <row r="166" spans="1:15" s="7" customFormat="1" ht="15.75" x14ac:dyDescent="0.45">
      <c r="A166" s="79"/>
      <c r="B166" s="1055" t="s">
        <v>67</v>
      </c>
      <c r="C166" s="1055"/>
      <c r="D166" s="1055"/>
      <c r="E166" s="1055"/>
      <c r="F166" s="1055"/>
      <c r="G166" s="1055"/>
      <c r="H166" s="273">
        <f>SUMPRODUCT(L162:L165,M162:M165)</f>
        <v>0</v>
      </c>
      <c r="I166" s="77"/>
      <c r="J166" s="267"/>
      <c r="K166" s="267"/>
      <c r="L166" s="267"/>
      <c r="M166" s="267"/>
      <c r="N166" s="78"/>
    </row>
    <row r="167" spans="1:15" s="7" customFormat="1" ht="15" customHeight="1" x14ac:dyDescent="0.45">
      <c r="A167" s="86" t="s">
        <v>119</v>
      </c>
      <c r="B167" s="21" t="s">
        <v>25</v>
      </c>
      <c r="C167" s="57"/>
      <c r="D167" s="57"/>
      <c r="E167" s="57"/>
      <c r="F167" s="57"/>
      <c r="G167" s="57"/>
      <c r="H167" s="57"/>
      <c r="I167" s="188"/>
      <c r="J167" s="60"/>
      <c r="K167" s="268"/>
      <c r="L167" s="268"/>
      <c r="M167" s="268"/>
    </row>
    <row r="168" spans="1:15" s="7" customFormat="1" ht="15" hidden="1" customHeight="1" x14ac:dyDescent="0.45">
      <c r="A168" s="1007">
        <v>1</v>
      </c>
      <c r="B168" s="29" t="s">
        <v>75</v>
      </c>
      <c r="C168" s="188"/>
      <c r="D168" s="1024"/>
      <c r="E168" s="998" t="s">
        <v>66</v>
      </c>
      <c r="F168" s="998" t="str">
        <f>IF(M168&lt;&gt;"rumus",L168&amp;" x "&amp;M168&amp;" = "&amp;L168*M168,"rumus")</f>
        <v>rumus</v>
      </c>
      <c r="G168" s="1013" t="str">
        <f t="shared" ref="G168" si="62">IF(M168&lt;&gt;"RUMUS",M168,"")</f>
        <v/>
      </c>
      <c r="H168" s="998"/>
      <c r="I168" s="998" t="s">
        <v>66</v>
      </c>
      <c r="J168" s="1006"/>
      <c r="K168" s="1025"/>
      <c r="L168" s="1026" t="str">
        <f>IF(J168="1 Penulis",100%,IF(J168="2 Penulis (ke-1)",60%,IF(J168="2 Penulis (ke-2)",40%,IF(J168="3 Penulis (ke-1)",60%,IF(J168="3 Penulis (ke-2)",20%,IF(J168="3 Penulis (ke-3)",20%,IF(J168="4 Penulis (ke-1)",60%,IF(J168="4 Penulis (ke-2)",13.3%,IF(J168="4 Penulis (ke-3)",13.3%,IF(J168="4 Penulis (ke-4)",13.3%,"rumus"))))))))))</f>
        <v>rumus</v>
      </c>
      <c r="M168" s="1026" t="str">
        <f>IF(K168="a.Internasional",60,IF(K168="b.Nasional",40,"rumus"))</f>
        <v>rumus</v>
      </c>
      <c r="N168" s="1022" t="e">
        <f>L168*M168</f>
        <v>#VALUE!</v>
      </c>
      <c r="O168" s="985" t="str">
        <f>IF(K168="a.Internasional","D.1",IF(K168="b.Nasional","D.2",""))</f>
        <v/>
      </c>
    </row>
    <row r="169" spans="1:15" s="7" customFormat="1" ht="51" hidden="1" customHeight="1" x14ac:dyDescent="0.45">
      <c r="A169" s="1023"/>
      <c r="B169" s="55" t="s">
        <v>79</v>
      </c>
      <c r="C169" s="188"/>
      <c r="D169" s="1024"/>
      <c r="E169" s="999"/>
      <c r="F169" s="999"/>
      <c r="G169" s="1013"/>
      <c r="H169" s="999"/>
      <c r="I169" s="999"/>
      <c r="J169" s="1006"/>
      <c r="K169" s="1025"/>
      <c r="L169" s="1026"/>
      <c r="M169" s="1026"/>
      <c r="N169" s="1022"/>
      <c r="O169" s="985"/>
    </row>
    <row r="170" spans="1:15" s="7" customFormat="1" ht="15" hidden="1" customHeight="1" x14ac:dyDescent="0.45">
      <c r="A170" s="1007">
        <v>2</v>
      </c>
      <c r="B170" s="29" t="s">
        <v>75</v>
      </c>
      <c r="C170" s="188"/>
      <c r="D170" s="1024"/>
      <c r="E170" s="998" t="s">
        <v>66</v>
      </c>
      <c r="F170" s="998" t="str">
        <f>IF(M170&lt;&gt;"rumus",L170&amp;" x "&amp;M170&amp;" = "&amp;L170*M170,"rumus")</f>
        <v>rumus</v>
      </c>
      <c r="G170" s="1013" t="str">
        <f t="shared" ref="G170" si="63">IF(M170&lt;&gt;"RUMUS",M170,"")</f>
        <v/>
      </c>
      <c r="H170" s="998"/>
      <c r="I170" s="998" t="s">
        <v>66</v>
      </c>
      <c r="J170" s="1006"/>
      <c r="K170" s="1025"/>
      <c r="L170" s="1026" t="str">
        <f>IF(J170="1 Penulis",100%,IF(J170="2 Penulis (ke-1)",60%,IF(J170="2 Penulis (ke-2)",40%,IF(J170="3 Penulis (ke-1)",60%,IF(J170="3 Penulis (ke-2)",20%,IF(J170="3 Penulis (ke-3)",20%,IF(J170="4 Penulis (ke-1)",60%,IF(J170="4 Penulis (ke-2)",13.3%,IF(J170="4 Penulis (ke-3)",13.3%,IF(J170="4 Penulis (ke-4)",13.3%,"rumus"))))))))))</f>
        <v>rumus</v>
      </c>
      <c r="M170" s="1026" t="str">
        <f>IF(K170="a.Internasional",60,IF(K170="b.Nasional",40,"rumus"))</f>
        <v>rumus</v>
      </c>
      <c r="N170" s="1022" t="e">
        <f>L170*M170</f>
        <v>#VALUE!</v>
      </c>
      <c r="O170" s="985" t="str">
        <f>IF(K170="a.Internasional","D.1",IF(K170="b.Nasional","D.2",""))</f>
        <v/>
      </c>
    </row>
    <row r="171" spans="1:15" s="7" customFormat="1" ht="51" hidden="1" customHeight="1" x14ac:dyDescent="0.45">
      <c r="A171" s="1023"/>
      <c r="B171" s="55" t="s">
        <v>79</v>
      </c>
      <c r="C171" s="188"/>
      <c r="D171" s="1024"/>
      <c r="E171" s="999"/>
      <c r="F171" s="999"/>
      <c r="G171" s="1013"/>
      <c r="H171" s="1037"/>
      <c r="I171" s="999"/>
      <c r="J171" s="1006"/>
      <c r="K171" s="1025"/>
      <c r="L171" s="1026"/>
      <c r="M171" s="1026"/>
      <c r="N171" s="1022"/>
      <c r="O171" s="985"/>
    </row>
    <row r="172" spans="1:15" s="7" customFormat="1" ht="15" hidden="1" customHeight="1" x14ac:dyDescent="0.45">
      <c r="A172" s="1007">
        <v>2</v>
      </c>
      <c r="B172" s="29" t="s">
        <v>75</v>
      </c>
      <c r="C172" s="188"/>
      <c r="D172" s="1024"/>
      <c r="E172" s="998" t="s">
        <v>66</v>
      </c>
      <c r="F172" s="998" t="str">
        <f>IF(M172&lt;&gt;"rumus",L172&amp;" x "&amp;M172&amp;" = "&amp;L172*M172,"rumus")</f>
        <v>rumus</v>
      </c>
      <c r="G172" s="1013" t="str">
        <f t="shared" ref="G172" si="64">IF(M172&lt;&gt;"RUMUS",M172,"")</f>
        <v/>
      </c>
      <c r="H172" s="998"/>
      <c r="I172" s="998" t="s">
        <v>66</v>
      </c>
      <c r="J172" s="1006"/>
      <c r="K172" s="1025"/>
      <c r="L172" s="1026" t="str">
        <f>IF(J172="1 Penulis",100%,IF(J172="2 Penulis (ke-1)",60%,IF(J172="2 Penulis (ke-2)",40%,IF(J172="3 Penulis (ke-1)",60%,IF(J172="3 Penulis (ke-2)",20%,IF(J172="3 Penulis (ke-3)",20%,IF(J172="4 Penulis (ke-1)",60%,IF(J172="4 Penulis (ke-2)",13.3%,IF(J172="4 Penulis (ke-3)",13.3%,IF(J172="4 Penulis (ke-4)",13.3%,"rumus"))))))))))</f>
        <v>rumus</v>
      </c>
      <c r="M172" s="1026" t="str">
        <f>IF(K172="a.Internasional",60,IF(K172="b.Nasional",40,"rumus"))</f>
        <v>rumus</v>
      </c>
      <c r="N172" s="1022" t="e">
        <f>L172*M172</f>
        <v>#VALUE!</v>
      </c>
      <c r="O172" s="985" t="str">
        <f>IF(K172="a.Internasional","D.1",IF(K172="b.Nasional","D.2",""))</f>
        <v/>
      </c>
    </row>
    <row r="173" spans="1:15" s="7" customFormat="1" ht="51" hidden="1" customHeight="1" x14ac:dyDescent="0.45">
      <c r="A173" s="1023"/>
      <c r="B173" s="55" t="s">
        <v>79</v>
      </c>
      <c r="C173" s="188"/>
      <c r="D173" s="1024"/>
      <c r="E173" s="999"/>
      <c r="F173" s="999"/>
      <c r="G173" s="1013"/>
      <c r="H173" s="999"/>
      <c r="I173" s="999"/>
      <c r="J173" s="1006"/>
      <c r="K173" s="1025"/>
      <c r="L173" s="1026"/>
      <c r="M173" s="1026"/>
      <c r="N173" s="1022"/>
      <c r="O173" s="985"/>
    </row>
    <row r="174" spans="1:15" s="7" customFormat="1" ht="15" hidden="1" customHeight="1" x14ac:dyDescent="0.45">
      <c r="A174" s="1007">
        <v>2</v>
      </c>
      <c r="B174" s="29" t="s">
        <v>75</v>
      </c>
      <c r="C174" s="188"/>
      <c r="D174" s="1024"/>
      <c r="E174" s="998" t="s">
        <v>66</v>
      </c>
      <c r="F174" s="998" t="str">
        <f>IF(M174&lt;&gt;"rumus",L174&amp;" x "&amp;M174&amp;" = "&amp;L174*M174,"rumus")</f>
        <v>rumus</v>
      </c>
      <c r="G174" s="1013" t="str">
        <f t="shared" ref="G174" si="65">IF(M174&lt;&gt;"RUMUS",M174,"")</f>
        <v/>
      </c>
      <c r="H174" s="998"/>
      <c r="I174" s="998" t="s">
        <v>66</v>
      </c>
      <c r="J174" s="1006"/>
      <c r="K174" s="1025"/>
      <c r="L174" s="1026" t="str">
        <f>IF(J174="1 Penulis",100%,IF(J174="2 Penulis (ke-1)",60%,IF(J174="2 Penulis (ke-2)",40%,IF(J174="3 Penulis (ke-1)",60%,IF(J174="3 Penulis (ke-2)",20%,IF(J174="3 Penulis (ke-3)",20%,IF(J174="4 Penulis (ke-1)",60%,IF(J174="4 Penulis (ke-2)",13.3%,IF(J174="4 Penulis (ke-3)",13.3%,IF(J174="4 Penulis (ke-4)",13.3%,"rumus"))))))))))</f>
        <v>rumus</v>
      </c>
      <c r="M174" s="1026" t="str">
        <f>IF(K174="a.Internasional",60,IF(K174="b.Nasional",40,"rumus"))</f>
        <v>rumus</v>
      </c>
      <c r="N174" s="1022" t="s">
        <v>801</v>
      </c>
      <c r="O174" s="985" t="str">
        <f>IF(K174="a.Internasional","D.1",IF(K174="b.Nasional","D.2",""))</f>
        <v/>
      </c>
    </row>
    <row r="175" spans="1:15" s="7" customFormat="1" ht="51" hidden="1" customHeight="1" x14ac:dyDescent="0.45">
      <c r="A175" s="1023"/>
      <c r="B175" s="55" t="s">
        <v>79</v>
      </c>
      <c r="C175" s="188"/>
      <c r="D175" s="1024"/>
      <c r="E175" s="999"/>
      <c r="F175" s="999"/>
      <c r="G175" s="1013"/>
      <c r="H175" s="999"/>
      <c r="I175" s="999"/>
      <c r="J175" s="1006"/>
      <c r="K175" s="1025"/>
      <c r="L175" s="1026"/>
      <c r="M175" s="1026"/>
      <c r="N175" s="1022"/>
      <c r="O175" s="985"/>
    </row>
    <row r="176" spans="1:15" s="7" customFormat="1" ht="15.75" x14ac:dyDescent="0.45">
      <c r="A176" s="79"/>
      <c r="B176" s="1055" t="s">
        <v>67</v>
      </c>
      <c r="C176" s="1055"/>
      <c r="D176" s="1055"/>
      <c r="E176" s="1055"/>
      <c r="F176" s="1055"/>
      <c r="G176" s="1055"/>
      <c r="H176" s="273">
        <f>SUMPRODUCT(L168:L175,M168:M175)</f>
        <v>0</v>
      </c>
      <c r="I176" s="77"/>
      <c r="J176" s="268"/>
      <c r="K176" s="269"/>
      <c r="L176" s="268"/>
      <c r="M176" s="268"/>
    </row>
    <row r="177" spans="1:19" s="7" customFormat="1" ht="15" customHeight="1" x14ac:dyDescent="0.45">
      <c r="A177" s="86" t="s">
        <v>120</v>
      </c>
      <c r="B177" s="21" t="s">
        <v>64</v>
      </c>
      <c r="C177" s="30"/>
      <c r="D177" s="30"/>
      <c r="E177" s="30"/>
      <c r="F177" s="30"/>
      <c r="G177" s="30"/>
      <c r="H177" s="30"/>
      <c r="I177" s="54"/>
      <c r="J177" s="268"/>
      <c r="K177" s="60"/>
      <c r="L177" s="268"/>
      <c r="M177" s="268"/>
    </row>
    <row r="178" spans="1:19" s="7" customFormat="1" ht="26.25" x14ac:dyDescent="0.45">
      <c r="A178" s="1007">
        <v>1</v>
      </c>
      <c r="B178" s="846" t="s">
        <v>75</v>
      </c>
      <c r="C178" s="852" t="s">
        <v>960</v>
      </c>
      <c r="D178" s="1039" t="s">
        <v>961</v>
      </c>
      <c r="E178" s="998" t="s">
        <v>66</v>
      </c>
      <c r="F178" s="1013" t="str">
        <f>IF(L178&lt;&gt;"RUMUS","1","")</f>
        <v>1</v>
      </c>
      <c r="G178" s="1013">
        <f t="shared" ref="G178" si="66">IF(M178&lt;&gt;"RUMUS",M178,"")</f>
        <v>15</v>
      </c>
      <c r="H178" s="998" t="str">
        <f t="shared" ref="H178" si="67">IF(M178&lt;&gt;"rumus",L178&amp;" x "&amp;M178&amp;" = "&amp;L178*M178,"rumus")</f>
        <v>0,6 x 15 = 9</v>
      </c>
      <c r="I178" s="998" t="s">
        <v>66</v>
      </c>
      <c r="J178" s="1006" t="s">
        <v>937</v>
      </c>
      <c r="K178" s="1025" t="s">
        <v>971</v>
      </c>
      <c r="L178" s="1026">
        <f>IF(J178="1 Penulis",100%,IF(J178="2 Penulis (ke-1)",60%,IF(J178="2 Penulis (ke-2)",40%,IF(J178="3 Penulis (ke-1)",60%,IF(J178="3 Penulis (ke-2)",20%,IF(J178="3 Penulis (ke-3)",20%,IF(J178="4 Penulis (ke-1)",60%,IF(J178="4 Penulis (ke-2)",13.3%,IF(J178="4 Penulis (ke-3)",13.3%,IF(J178="4 Penulis (ke-4)",13.3%,"rumus"))))))))))</f>
        <v>0.6</v>
      </c>
      <c r="M178" s="1026">
        <f>IF(K178="a.Internasional",20,IF(K178="b.Nasional",15,IF(K178="c.Lokal",10,"rumus")))</f>
        <v>15</v>
      </c>
      <c r="N178" s="1022">
        <f>L178*M178</f>
        <v>9</v>
      </c>
      <c r="O178" s="985" t="str">
        <f>IF(K178="a.Internasional","E.1",IF(K178="b.Nasional","E.2",IF(K178="c.Lokal","E.3","")))</f>
        <v>E.2</v>
      </c>
      <c r="S178" s="845">
        <f>L178*M178</f>
        <v>9</v>
      </c>
    </row>
    <row r="179" spans="1:19" s="7" customFormat="1" ht="26.25" x14ac:dyDescent="0.45">
      <c r="A179" s="1008"/>
      <c r="B179" s="848" t="s">
        <v>80</v>
      </c>
      <c r="C179" s="849" t="s">
        <v>962</v>
      </c>
      <c r="D179" s="1039"/>
      <c r="E179" s="999"/>
      <c r="F179" s="1013"/>
      <c r="G179" s="1013"/>
      <c r="H179" s="999"/>
      <c r="I179" s="999"/>
      <c r="J179" s="1006"/>
      <c r="K179" s="1025"/>
      <c r="L179" s="1026"/>
      <c r="M179" s="1026"/>
      <c r="N179" s="1022"/>
      <c r="O179" s="985"/>
    </row>
    <row r="180" spans="1:19" s="7" customFormat="1" ht="26.25" x14ac:dyDescent="0.45">
      <c r="A180" s="1007">
        <v>2</v>
      </c>
      <c r="B180" s="846" t="s">
        <v>75</v>
      </c>
      <c r="C180" s="852" t="s">
        <v>963</v>
      </c>
      <c r="D180" s="1039" t="s">
        <v>964</v>
      </c>
      <c r="E180" s="998" t="s">
        <v>66</v>
      </c>
      <c r="F180" s="1013" t="str">
        <f>IF(L180&lt;&gt;"RUMUS","1","")</f>
        <v>1</v>
      </c>
      <c r="G180" s="1013">
        <f t="shared" ref="G180" si="68">IF(M180&lt;&gt;"RUMUS",M180,"")</f>
        <v>15</v>
      </c>
      <c r="H180" s="998" t="str">
        <f t="shared" ref="H180" si="69">IF(M180&lt;&gt;"rumus",L180&amp;" x "&amp;M180&amp;" = "&amp;L180*M180,"rumus")</f>
        <v>0,08 x 15 = 1,2</v>
      </c>
      <c r="I180" s="998" t="s">
        <v>66</v>
      </c>
      <c r="J180" s="1006" t="s">
        <v>972</v>
      </c>
      <c r="K180" s="1025" t="s">
        <v>971</v>
      </c>
      <c r="L180" s="1026">
        <f>0.4/5</f>
        <v>0.08</v>
      </c>
      <c r="M180" s="1026">
        <f>IF(K180="a.Internasional",20,IF(K180="b.Nasional",15,IF(K180="c.Lokal",10,"rumus")))</f>
        <v>15</v>
      </c>
      <c r="N180" s="1022">
        <f>L180*M180</f>
        <v>1.2</v>
      </c>
      <c r="O180" s="985" t="str">
        <f>IF(K180="a.Internasional","E.1",IF(K180="b.Nasional","E.2",IF(K180="c.Lokal","E.3","")))</f>
        <v>E.2</v>
      </c>
      <c r="S180" s="845">
        <f>L180*M180</f>
        <v>1.2</v>
      </c>
    </row>
    <row r="181" spans="1:19" s="7" customFormat="1" ht="26.25" x14ac:dyDescent="0.45">
      <c r="A181" s="1008"/>
      <c r="B181" s="848" t="s">
        <v>80</v>
      </c>
      <c r="C181" s="852" t="s">
        <v>973</v>
      </c>
      <c r="D181" s="1039"/>
      <c r="E181" s="999"/>
      <c r="F181" s="1013"/>
      <c r="G181" s="1013"/>
      <c r="H181" s="999"/>
      <c r="I181" s="999"/>
      <c r="J181" s="1006"/>
      <c r="K181" s="1025"/>
      <c r="L181" s="1026"/>
      <c r="M181" s="1026"/>
      <c r="N181" s="1022"/>
      <c r="O181" s="985"/>
    </row>
    <row r="182" spans="1:19" s="7" customFormat="1" ht="15" hidden="1" customHeight="1" x14ac:dyDescent="0.45">
      <c r="A182" s="1007">
        <v>3</v>
      </c>
      <c r="B182" s="29" t="s">
        <v>75</v>
      </c>
      <c r="C182" s="188"/>
      <c r="D182" s="1024"/>
      <c r="E182" s="998" t="s">
        <v>66</v>
      </c>
      <c r="F182" s="1013" t="str">
        <f>IF(L182&lt;&gt;"RUMUS","1","")</f>
        <v/>
      </c>
      <c r="G182" s="1013" t="str">
        <f t="shared" ref="G182" si="70">IF(M182&lt;&gt;"RUMUS",M182,"")</f>
        <v/>
      </c>
      <c r="H182" s="998" t="str">
        <f t="shared" ref="H182" si="71">IF(M182&lt;&gt;"rumus",L182&amp;" x "&amp;M182&amp;" = "&amp;L182*M182,"rumus")</f>
        <v>rumus</v>
      </c>
      <c r="I182" s="998" t="s">
        <v>66</v>
      </c>
      <c r="J182" s="1006"/>
      <c r="K182" s="1025"/>
      <c r="L182" s="1026" t="str">
        <f>IF(J182="1 Penulis",100%,IF(J182="2 Penulis (ke-1)",60%,IF(J182="2 Penulis (ke-2)",40%,IF(J182="3 Penulis (ke-1)",60%,IF(J182="3 Penulis (ke-2)",20%,IF(J182="3 Penulis (ke-3)",20%,IF(J182="4 Penulis (ke-1)",60%,IF(J182="4 Penulis (ke-2)",13.3%,IF(J182="4 Penulis (ke-3)",13.3%,IF(J182="4 Penulis (ke-4)",13.3%,"rumus"))))))))))</f>
        <v>rumus</v>
      </c>
      <c r="M182" s="1026" t="str">
        <f>IF(K182="a.Internasional",20,IF(K182="b.Nasional",15,IF(K182="c.Lokal",10,"rumus")))</f>
        <v>rumus</v>
      </c>
      <c r="N182" s="1022" t="e">
        <f>L182*M182</f>
        <v>#VALUE!</v>
      </c>
      <c r="O182" s="985" t="str">
        <f>IF(K182="a.Internasional","E.1",IF(K182="b.Nasional","E.2",IF(K182="c.Lokal","E.3","")))</f>
        <v/>
      </c>
    </row>
    <row r="183" spans="1:19" s="7" customFormat="1" ht="51" hidden="1" customHeight="1" x14ac:dyDescent="0.45">
      <c r="A183" s="1023"/>
      <c r="B183" s="55" t="s">
        <v>80</v>
      </c>
      <c r="C183" s="188"/>
      <c r="D183" s="1024"/>
      <c r="E183" s="999"/>
      <c r="F183" s="1013"/>
      <c r="G183" s="1013"/>
      <c r="H183" s="999"/>
      <c r="I183" s="999"/>
      <c r="J183" s="1006"/>
      <c r="K183" s="1025"/>
      <c r="L183" s="1026"/>
      <c r="M183" s="1026"/>
      <c r="N183" s="1022"/>
      <c r="O183" s="985"/>
    </row>
    <row r="184" spans="1:19" s="7" customFormat="1" ht="15.75" x14ac:dyDescent="0.45">
      <c r="A184" s="79"/>
      <c r="B184" s="1038" t="s">
        <v>67</v>
      </c>
      <c r="C184" s="969"/>
      <c r="D184" s="969"/>
      <c r="E184" s="969"/>
      <c r="F184" s="969"/>
      <c r="G184" s="970"/>
      <c r="H184" s="273">
        <f>SUMPRODUCT(L178:L183,M178:M183)</f>
        <v>10.199999999999999</v>
      </c>
      <c r="I184" s="77"/>
      <c r="J184" s="78"/>
    </row>
    <row r="185" spans="1:19" s="7" customFormat="1" ht="15.75" x14ac:dyDescent="0.45">
      <c r="A185" s="79"/>
      <c r="B185" s="1038" t="s">
        <v>182</v>
      </c>
      <c r="C185" s="969"/>
      <c r="D185" s="969"/>
      <c r="E185" s="969"/>
      <c r="F185" s="970"/>
      <c r="G185" s="795">
        <f>H184+H176+H166+H160+G154</f>
        <v>73.334999999999994</v>
      </c>
      <c r="H185" s="813">
        <f>H184+H176+H166+H160+H154</f>
        <v>136.47</v>
      </c>
      <c r="I185" s="77"/>
      <c r="J185" s="190"/>
    </row>
    <row r="186" spans="1:19" x14ac:dyDescent="0.45">
      <c r="A186" s="7"/>
      <c r="B186" s="985"/>
      <c r="C186" s="985"/>
      <c r="D186" s="7"/>
      <c r="E186" s="7"/>
      <c r="F186" s="7"/>
      <c r="G186" s="7"/>
      <c r="H186" s="7"/>
      <c r="I186" s="7"/>
      <c r="J186" s="7"/>
    </row>
    <row r="187" spans="1:19" x14ac:dyDescent="0.45">
      <c r="A187" s="984" t="s">
        <v>53</v>
      </c>
      <c r="B187" s="984"/>
      <c r="C187" s="984"/>
      <c r="D187" s="984"/>
      <c r="E187" s="984"/>
      <c r="F187" s="984"/>
      <c r="G187" s="984"/>
      <c r="H187" s="984"/>
      <c r="I187" s="2"/>
      <c r="J187" s="2"/>
    </row>
    <row r="188" spans="1:19" x14ac:dyDescent="0.45">
      <c r="A188" s="985"/>
      <c r="B188" s="985"/>
      <c r="C188" s="985"/>
      <c r="D188" s="985"/>
      <c r="E188" s="985"/>
      <c r="F188" s="985"/>
      <c r="G188" s="985"/>
      <c r="H188" s="985"/>
      <c r="I188" s="2"/>
      <c r="J188" s="2"/>
    </row>
    <row r="189" spans="1:19" x14ac:dyDescent="0.45">
      <c r="G189" s="183" t="s">
        <v>250</v>
      </c>
      <c r="H189" s="182" t="str">
        <f ca="1">"      "&amp;TEXT(TODAY()," mmmm yyyy")</f>
        <v xml:space="preserve">       January 2019</v>
      </c>
    </row>
    <row r="190" spans="1:19" x14ac:dyDescent="0.45">
      <c r="F190" s="988" t="str">
        <f>'LAMPIRAN II DONE'!G1162</f>
        <v>Ketua Program Studi D3 Teknik Komputer Fakultas Ilmu Terapan</v>
      </c>
      <c r="G190" s="988"/>
      <c r="H190" s="988"/>
      <c r="I190" s="988"/>
      <c r="J190" s="48"/>
    </row>
    <row r="191" spans="1:19" x14ac:dyDescent="0.45">
      <c r="F191" s="988"/>
      <c r="G191" s="988"/>
      <c r="H191" s="988"/>
      <c r="I191" s="988"/>
      <c r="J191" s="44"/>
    </row>
    <row r="192" spans="1:19" x14ac:dyDescent="0.45">
      <c r="F192" s="11"/>
      <c r="G192" s="11"/>
      <c r="H192" s="11"/>
      <c r="I192" s="11"/>
      <c r="J192" s="11"/>
    </row>
    <row r="193" spans="1:10" x14ac:dyDescent="0.45">
      <c r="F193"/>
      <c r="G193"/>
      <c r="H193"/>
      <c r="I193"/>
      <c r="J193"/>
    </row>
    <row r="194" spans="1:10" x14ac:dyDescent="0.45">
      <c r="F194"/>
      <c r="G194"/>
      <c r="H194"/>
      <c r="I194"/>
      <c r="J194"/>
    </row>
    <row r="195" spans="1:10" s="2" customFormat="1" x14ac:dyDescent="0.45">
      <c r="A195" s="3"/>
      <c r="B195" s="3"/>
      <c r="C195" s="3"/>
      <c r="D195" s="3"/>
      <c r="E195" s="3"/>
      <c r="F195"/>
      <c r="G195"/>
      <c r="H195"/>
      <c r="I195"/>
      <c r="J195"/>
    </row>
    <row r="196" spans="1:10" s="2" customFormat="1" x14ac:dyDescent="0.45">
      <c r="A196" s="3"/>
      <c r="B196" s="3"/>
      <c r="C196" s="3"/>
      <c r="D196" s="3"/>
      <c r="E196" s="3"/>
      <c r="F196" s="987" t="str">
        <f>'LAMPIRAN II DONE'!G1168</f>
        <v>Setia Juli Irzal Ismail</v>
      </c>
      <c r="G196" s="987"/>
      <c r="H196" s="987"/>
      <c r="I196" s="987"/>
      <c r="J196" s="44"/>
    </row>
    <row r="197" spans="1:10" s="2" customFormat="1" x14ac:dyDescent="0.45">
      <c r="A197" s="3"/>
      <c r="B197" s="3"/>
      <c r="C197" s="3"/>
      <c r="D197" s="3"/>
      <c r="E197" s="3"/>
      <c r="F197" s="3"/>
      <c r="G197" s="3"/>
      <c r="H197" s="3"/>
      <c r="I197" s="3"/>
      <c r="J197" s="3"/>
    </row>
    <row r="198" spans="1:10" s="2" customFormat="1" x14ac:dyDescent="0.45">
      <c r="A198" s="3"/>
      <c r="B198" s="3"/>
      <c r="C198" s="3"/>
      <c r="D198" s="3"/>
      <c r="E198" s="3"/>
      <c r="F198" s="3"/>
      <c r="G198" s="3"/>
      <c r="H198" s="3"/>
      <c r="I198" s="3"/>
      <c r="J198" s="3"/>
    </row>
    <row r="199" spans="1:10" x14ac:dyDescent="0.45">
      <c r="A199" s="986" t="s">
        <v>54</v>
      </c>
      <c r="B199" s="986"/>
      <c r="C199" s="986"/>
      <c r="D199" s="986"/>
      <c r="E199" s="986"/>
      <c r="F199" s="986"/>
      <c r="G199" s="986"/>
      <c r="H199" s="986"/>
      <c r="I199" s="2"/>
      <c r="J199" s="2"/>
    </row>
    <row r="200" spans="1:10" x14ac:dyDescent="0.45">
      <c r="A200" s="986" t="s">
        <v>55</v>
      </c>
      <c r="B200" s="986"/>
      <c r="C200" s="986"/>
      <c r="D200" s="986"/>
      <c r="E200" s="986"/>
      <c r="F200" s="986"/>
      <c r="G200" s="986"/>
      <c r="H200" s="986"/>
      <c r="I200" s="2"/>
      <c r="J200" s="2"/>
    </row>
    <row r="201" spans="1:10" x14ac:dyDescent="0.45">
      <c r="A201" s="986" t="s">
        <v>59</v>
      </c>
      <c r="B201" s="986"/>
      <c r="C201" s="986"/>
      <c r="D201" s="986"/>
      <c r="E201" s="986"/>
      <c r="F201" s="986"/>
      <c r="G201" s="986"/>
      <c r="H201" s="986"/>
      <c r="I201" s="2"/>
      <c r="J201" s="2"/>
    </row>
    <row r="202" spans="1:10" x14ac:dyDescent="0.45">
      <c r="A202" s="983" t="s">
        <v>56</v>
      </c>
      <c r="B202" s="983"/>
      <c r="C202" s="983"/>
      <c r="D202" s="983"/>
      <c r="E202" s="983"/>
      <c r="F202" s="983"/>
      <c r="G202" s="983"/>
      <c r="H202" s="983"/>
      <c r="I202" s="2"/>
      <c r="J202" s="2"/>
    </row>
  </sheetData>
  <mergeCells count="1020">
    <mergeCell ref="F182:F183"/>
    <mergeCell ref="P144:P145"/>
    <mergeCell ref="D133:D134"/>
    <mergeCell ref="B185:F185"/>
    <mergeCell ref="A119:A120"/>
    <mergeCell ref="D119:D120"/>
    <mergeCell ref="E119:E120"/>
    <mergeCell ref="F119:F120"/>
    <mergeCell ref="G119:G120"/>
    <mergeCell ref="H119:H120"/>
    <mergeCell ref="I119:I120"/>
    <mergeCell ref="J119:J120"/>
    <mergeCell ref="K119:K120"/>
    <mergeCell ref="L115:L116"/>
    <mergeCell ref="M115:M116"/>
    <mergeCell ref="N115:N116"/>
    <mergeCell ref="O115:O116"/>
    <mergeCell ref="P115:P116"/>
    <mergeCell ref="A117:A118"/>
    <mergeCell ref="D117:D118"/>
    <mergeCell ref="E117:E118"/>
    <mergeCell ref="F117:F118"/>
    <mergeCell ref="G117:G118"/>
    <mergeCell ref="H117:H118"/>
    <mergeCell ref="I117:I118"/>
    <mergeCell ref="J117:J118"/>
    <mergeCell ref="K117:K118"/>
    <mergeCell ref="L117:L118"/>
    <mergeCell ref="M117:M118"/>
    <mergeCell ref="N117:N118"/>
    <mergeCell ref="O117:O118"/>
    <mergeCell ref="L58:L59"/>
    <mergeCell ref="P113:P114"/>
    <mergeCell ref="A111:A112"/>
    <mergeCell ref="D111:D112"/>
    <mergeCell ref="E111:E112"/>
    <mergeCell ref="F111:F112"/>
    <mergeCell ref="G111:G112"/>
    <mergeCell ref="H111:H112"/>
    <mergeCell ref="B154:F154"/>
    <mergeCell ref="O111:O112"/>
    <mergeCell ref="P111:P112"/>
    <mergeCell ref="P130:P131"/>
    <mergeCell ref="H144:H145"/>
    <mergeCell ref="I144:I145"/>
    <mergeCell ref="O146:O147"/>
    <mergeCell ref="H139:H140"/>
    <mergeCell ref="I139:I140"/>
    <mergeCell ref="J139:J140"/>
    <mergeCell ref="K139:K140"/>
    <mergeCell ref="O139:O140"/>
    <mergeCell ref="L141:L142"/>
    <mergeCell ref="M141:M142"/>
    <mergeCell ref="N141:N142"/>
    <mergeCell ref="O141:O142"/>
    <mergeCell ref="I111:I112"/>
    <mergeCell ref="J111:J112"/>
    <mergeCell ref="K111:K112"/>
    <mergeCell ref="L111:L112"/>
    <mergeCell ref="M111:M112"/>
    <mergeCell ref="P146:P147"/>
    <mergeCell ref="P119:P120"/>
    <mergeCell ref="M60:M61"/>
    <mergeCell ref="M58:M59"/>
    <mergeCell ref="N87:N88"/>
    <mergeCell ref="H85:H86"/>
    <mergeCell ref="H87:H88"/>
    <mergeCell ref="J54:J55"/>
    <mergeCell ref="K54:K55"/>
    <mergeCell ref="K60:K61"/>
    <mergeCell ref="J60:J61"/>
    <mergeCell ref="J64:J65"/>
    <mergeCell ref="Q50:Q51"/>
    <mergeCell ref="Q52:Q53"/>
    <mergeCell ref="Q54:Q55"/>
    <mergeCell ref="Q56:Q57"/>
    <mergeCell ref="Q58:Q59"/>
    <mergeCell ref="Q60:Q61"/>
    <mergeCell ref="Q62:Q63"/>
    <mergeCell ref="Q64:Q65"/>
    <mergeCell ref="Q66:Q67"/>
    <mergeCell ref="Q68:Q69"/>
    <mergeCell ref="J83:J84"/>
    <mergeCell ref="J81:J82"/>
    <mergeCell ref="P71:P72"/>
    <mergeCell ref="P73:P74"/>
    <mergeCell ref="P75:P76"/>
    <mergeCell ref="P77:P78"/>
    <mergeCell ref="P79:P80"/>
    <mergeCell ref="P81:P82"/>
    <mergeCell ref="P83:P84"/>
    <mergeCell ref="P62:P63"/>
    <mergeCell ref="M56:M57"/>
    <mergeCell ref="P64:P65"/>
    <mergeCell ref="P66:P67"/>
    <mergeCell ref="P29:P30"/>
    <mergeCell ref="P31:P32"/>
    <mergeCell ref="P33:P34"/>
    <mergeCell ref="P35:P36"/>
    <mergeCell ref="P37:P38"/>
    <mergeCell ref="P39:P40"/>
    <mergeCell ref="P41:P42"/>
    <mergeCell ref="P43:P44"/>
    <mergeCell ref="P45:P46"/>
    <mergeCell ref="P87:P88"/>
    <mergeCell ref="P50:P51"/>
    <mergeCell ref="P52:P53"/>
    <mergeCell ref="P54:P55"/>
    <mergeCell ref="P56:P57"/>
    <mergeCell ref="P58:P59"/>
    <mergeCell ref="P60:P61"/>
    <mergeCell ref="P85:P86"/>
    <mergeCell ref="P47:P48"/>
    <mergeCell ref="P68:P69"/>
    <mergeCell ref="N66:N67"/>
    <mergeCell ref="H102:H103"/>
    <mergeCell ref="K102:K103"/>
    <mergeCell ref="F115:F116"/>
    <mergeCell ref="G115:G116"/>
    <mergeCell ref="H115:H116"/>
    <mergeCell ref="I115:I116"/>
    <mergeCell ref="J115:J116"/>
    <mergeCell ref="K115:K116"/>
    <mergeCell ref="F94:F95"/>
    <mergeCell ref="G94:G95"/>
    <mergeCell ref="H94:H95"/>
    <mergeCell ref="I94:I95"/>
    <mergeCell ref="H108:H109"/>
    <mergeCell ref="I108:I109"/>
    <mergeCell ref="J108:J109"/>
    <mergeCell ref="K108:K109"/>
    <mergeCell ref="G113:G114"/>
    <mergeCell ref="H113:H114"/>
    <mergeCell ref="I113:I114"/>
    <mergeCell ref="J113:J114"/>
    <mergeCell ref="K113:K114"/>
    <mergeCell ref="L113:L114"/>
    <mergeCell ref="M113:M114"/>
    <mergeCell ref="N113:N114"/>
    <mergeCell ref="N94:N95"/>
    <mergeCell ref="N96:N97"/>
    <mergeCell ref="F102:F103"/>
    <mergeCell ref="G102:G103"/>
    <mergeCell ref="N102:N103"/>
    <mergeCell ref="F87:F88"/>
    <mergeCell ref="N85:N86"/>
    <mergeCell ref="P124:P125"/>
    <mergeCell ref="P126:P127"/>
    <mergeCell ref="P128:P129"/>
    <mergeCell ref="P90:P91"/>
    <mergeCell ref="P92:P93"/>
    <mergeCell ref="P94:P95"/>
    <mergeCell ref="P96:P97"/>
    <mergeCell ref="P98:P99"/>
    <mergeCell ref="P100:P101"/>
    <mergeCell ref="P102:P103"/>
    <mergeCell ref="P104:P105"/>
    <mergeCell ref="P106:P107"/>
    <mergeCell ref="P108:P109"/>
    <mergeCell ref="F75:F76"/>
    <mergeCell ref="L75:L76"/>
    <mergeCell ref="L83:L84"/>
    <mergeCell ref="M83:M84"/>
    <mergeCell ref="K83:K84"/>
    <mergeCell ref="P117:P118"/>
    <mergeCell ref="M75:M76"/>
    <mergeCell ref="N75:N76"/>
    <mergeCell ref="O102:O103"/>
    <mergeCell ref="O98:O99"/>
    <mergeCell ref="O113:O114"/>
    <mergeCell ref="M87:M88"/>
    <mergeCell ref="F77:F78"/>
    <mergeCell ref="F79:F80"/>
    <mergeCell ref="F83:F84"/>
    <mergeCell ref="I90:I91"/>
    <mergeCell ref="O94:O95"/>
    <mergeCell ref="H96:H97"/>
    <mergeCell ref="I96:I97"/>
    <mergeCell ref="P148:P149"/>
    <mergeCell ref="P150:P151"/>
    <mergeCell ref="P152:P153"/>
    <mergeCell ref="P133:P134"/>
    <mergeCell ref="P135:P136"/>
    <mergeCell ref="P137:P138"/>
    <mergeCell ref="P139:P140"/>
    <mergeCell ref="P141:P142"/>
    <mergeCell ref="E174:E175"/>
    <mergeCell ref="N119:N120"/>
    <mergeCell ref="O119:O120"/>
    <mergeCell ref="G174:G175"/>
    <mergeCell ref="F164:F165"/>
    <mergeCell ref="G164:G165"/>
    <mergeCell ref="N83:N84"/>
    <mergeCell ref="M81:M82"/>
    <mergeCell ref="N81:N82"/>
    <mergeCell ref="I148:I149"/>
    <mergeCell ref="H174:H175"/>
    <mergeCell ref="F158:F159"/>
    <mergeCell ref="G158:G159"/>
    <mergeCell ref="K170:K171"/>
    <mergeCell ref="I162:I163"/>
    <mergeCell ref="I164:I165"/>
    <mergeCell ref="J141:J142"/>
    <mergeCell ref="K141:K142"/>
    <mergeCell ref="O150:O151"/>
    <mergeCell ref="O148:O149"/>
    <mergeCell ref="O144:O145"/>
    <mergeCell ref="L106:L107"/>
    <mergeCell ref="M106:M107"/>
    <mergeCell ref="P122:P123"/>
    <mergeCell ref="I182:I183"/>
    <mergeCell ref="I81:I82"/>
    <mergeCell ref="I83:I84"/>
    <mergeCell ref="K21:L21"/>
    <mergeCell ref="D11:I11"/>
    <mergeCell ref="D12:I12"/>
    <mergeCell ref="D13:I13"/>
    <mergeCell ref="D14:I14"/>
    <mergeCell ref="D15:I15"/>
    <mergeCell ref="B160:G160"/>
    <mergeCell ref="F47:F48"/>
    <mergeCell ref="F50:F51"/>
    <mergeCell ref="J152:J153"/>
    <mergeCell ref="L152:L153"/>
    <mergeCell ref="D20:I20"/>
    <mergeCell ref="B21:C21"/>
    <mergeCell ref="D21:I21"/>
    <mergeCell ref="B20:C20"/>
    <mergeCell ref="I158:I159"/>
    <mergeCell ref="H64:H65"/>
    <mergeCell ref="B25:C25"/>
    <mergeCell ref="K81:K82"/>
    <mergeCell ref="L81:L82"/>
    <mergeCell ref="K152:K153"/>
    <mergeCell ref="I54:I55"/>
    <mergeCell ref="I62:I63"/>
    <mergeCell ref="I79:I80"/>
    <mergeCell ref="I66:I67"/>
    <mergeCell ref="I68:I69"/>
    <mergeCell ref="I52:I53"/>
    <mergeCell ref="F174:F175"/>
    <mergeCell ref="D66:D67"/>
    <mergeCell ref="D68:D69"/>
    <mergeCell ref="E68:E69"/>
    <mergeCell ref="F68:F69"/>
    <mergeCell ref="F71:F72"/>
    <mergeCell ref="H156:H157"/>
    <mergeCell ref="E156:E157"/>
    <mergeCell ref="F156:F157"/>
    <mergeCell ref="I152:I153"/>
    <mergeCell ref="I156:I157"/>
    <mergeCell ref="E87:E88"/>
    <mergeCell ref="D113:D114"/>
    <mergeCell ref="E113:E114"/>
    <mergeCell ref="F113:F114"/>
    <mergeCell ref="E152:E153"/>
    <mergeCell ref="F92:F93"/>
    <mergeCell ref="G92:G93"/>
    <mergeCell ref="H92:H93"/>
    <mergeCell ref="I92:I93"/>
    <mergeCell ref="F98:F99"/>
    <mergeCell ref="G98:G99"/>
    <mergeCell ref="H98:H99"/>
    <mergeCell ref="I98:I99"/>
    <mergeCell ref="H141:H142"/>
    <mergeCell ref="I141:I142"/>
    <mergeCell ref="I102:I103"/>
    <mergeCell ref="D115:D116"/>
    <mergeCell ref="I178:I179"/>
    <mergeCell ref="D182:D183"/>
    <mergeCell ref="A178:A179"/>
    <mergeCell ref="H178:H179"/>
    <mergeCell ref="E178:E179"/>
    <mergeCell ref="A162:A163"/>
    <mergeCell ref="H162:H163"/>
    <mergeCell ref="E162:E163"/>
    <mergeCell ref="A168:A169"/>
    <mergeCell ref="H168:H169"/>
    <mergeCell ref="E168:E169"/>
    <mergeCell ref="F168:F169"/>
    <mergeCell ref="G168:G169"/>
    <mergeCell ref="A164:A165"/>
    <mergeCell ref="A152:A153"/>
    <mergeCell ref="D162:D163"/>
    <mergeCell ref="D164:D165"/>
    <mergeCell ref="D168:D169"/>
    <mergeCell ref="D174:D175"/>
    <mergeCell ref="A156:A157"/>
    <mergeCell ref="B176:G176"/>
    <mergeCell ref="B166:G166"/>
    <mergeCell ref="A170:A171"/>
    <mergeCell ref="D170:D171"/>
    <mergeCell ref="E170:E171"/>
    <mergeCell ref="F170:F171"/>
    <mergeCell ref="G170:G171"/>
    <mergeCell ref="H170:H171"/>
    <mergeCell ref="I170:I171"/>
    <mergeCell ref="G182:G183"/>
    <mergeCell ref="E164:E165"/>
    <mergeCell ref="D156:D157"/>
    <mergeCell ref="A22:A24"/>
    <mergeCell ref="B22:C24"/>
    <mergeCell ref="A8:I8"/>
    <mergeCell ref="A9:I9"/>
    <mergeCell ref="B18:C18"/>
    <mergeCell ref="B19:C19"/>
    <mergeCell ref="B17:C17"/>
    <mergeCell ref="H54:H55"/>
    <mergeCell ref="A66:A67"/>
    <mergeCell ref="H66:H67"/>
    <mergeCell ref="A35:A36"/>
    <mergeCell ref="H35:H36"/>
    <mergeCell ref="A39:A40"/>
    <mergeCell ref="A47:A48"/>
    <mergeCell ref="H47:H48"/>
    <mergeCell ref="A45:A46"/>
    <mergeCell ref="H45:H46"/>
    <mergeCell ref="A43:A44"/>
    <mergeCell ref="H39:H40"/>
    <mergeCell ref="D56:D57"/>
    <mergeCell ref="F66:F67"/>
    <mergeCell ref="E62:E63"/>
    <mergeCell ref="E64:E65"/>
    <mergeCell ref="E66:E67"/>
    <mergeCell ref="B26:C26"/>
    <mergeCell ref="H41:H42"/>
    <mergeCell ref="D29:D30"/>
    <mergeCell ref="D180:D181"/>
    <mergeCell ref="E180:E181"/>
    <mergeCell ref="F180:F181"/>
    <mergeCell ref="G180:G181"/>
    <mergeCell ref="G162:G163"/>
    <mergeCell ref="A174:A175"/>
    <mergeCell ref="G178:G179"/>
    <mergeCell ref="D178:D179"/>
    <mergeCell ref="F162:F163"/>
    <mergeCell ref="A135:A136"/>
    <mergeCell ref="D85:D86"/>
    <mergeCell ref="G83:G84"/>
    <mergeCell ref="F85:F86"/>
    <mergeCell ref="H83:H84"/>
    <mergeCell ref="H158:H159"/>
    <mergeCell ref="E158:E159"/>
    <mergeCell ref="F73:F74"/>
    <mergeCell ref="D158:D159"/>
    <mergeCell ref="D152:D153"/>
    <mergeCell ref="F81:F82"/>
    <mergeCell ref="A115:A116"/>
    <mergeCell ref="D79:D80"/>
    <mergeCell ref="D81:D82"/>
    <mergeCell ref="E115:E116"/>
    <mergeCell ref="H90:H91"/>
    <mergeCell ref="A96:A97"/>
    <mergeCell ref="D96:D97"/>
    <mergeCell ref="E96:E97"/>
    <mergeCell ref="F96:F97"/>
    <mergeCell ref="G96:G97"/>
    <mergeCell ref="A202:H202"/>
    <mergeCell ref="F196:I196"/>
    <mergeCell ref="A187:H187"/>
    <mergeCell ref="A188:H188"/>
    <mergeCell ref="A199:H199"/>
    <mergeCell ref="A200:H200"/>
    <mergeCell ref="A201:H201"/>
    <mergeCell ref="B186:C186"/>
    <mergeCell ref="F178:F179"/>
    <mergeCell ref="H182:H183"/>
    <mergeCell ref="E182:E183"/>
    <mergeCell ref="A85:A86"/>
    <mergeCell ref="A87:A88"/>
    <mergeCell ref="B184:G184"/>
    <mergeCell ref="A79:A80"/>
    <mergeCell ref="H79:H80"/>
    <mergeCell ref="H81:H82"/>
    <mergeCell ref="E85:E86"/>
    <mergeCell ref="I135:I136"/>
    <mergeCell ref="E79:E80"/>
    <mergeCell ref="E81:E82"/>
    <mergeCell ref="E83:E84"/>
    <mergeCell ref="A182:A183"/>
    <mergeCell ref="G152:G153"/>
    <mergeCell ref="A137:A138"/>
    <mergeCell ref="D135:D136"/>
    <mergeCell ref="E135:E136"/>
    <mergeCell ref="F135:F136"/>
    <mergeCell ref="G135:G136"/>
    <mergeCell ref="H135:H136"/>
    <mergeCell ref="A146:A147"/>
    <mergeCell ref="A144:A145"/>
    <mergeCell ref="D144:D145"/>
    <mergeCell ref="E144:E145"/>
    <mergeCell ref="G150:G151"/>
    <mergeCell ref="F144:F145"/>
    <mergeCell ref="G144:G145"/>
    <mergeCell ref="H148:H149"/>
    <mergeCell ref="A81:A82"/>
    <mergeCell ref="H152:H153"/>
    <mergeCell ref="D83:D84"/>
    <mergeCell ref="A68:A69"/>
    <mergeCell ref="H68:H69"/>
    <mergeCell ref="A113:A114"/>
    <mergeCell ref="N54:N55"/>
    <mergeCell ref="N56:N57"/>
    <mergeCell ref="M68:M69"/>
    <mergeCell ref="M71:M72"/>
    <mergeCell ref="L73:L74"/>
    <mergeCell ref="M73:M74"/>
    <mergeCell ref="M54:M55"/>
    <mergeCell ref="N68:N69"/>
    <mergeCell ref="L68:L69"/>
    <mergeCell ref="J35:J36"/>
    <mergeCell ref="A41:A42"/>
    <mergeCell ref="J41:J42"/>
    <mergeCell ref="I64:I65"/>
    <mergeCell ref="J43:J44"/>
    <mergeCell ref="K43:K44"/>
    <mergeCell ref="K45:K46"/>
    <mergeCell ref="K52:K53"/>
    <mergeCell ref="J47:J48"/>
    <mergeCell ref="K47:K48"/>
    <mergeCell ref="K41:K42"/>
    <mergeCell ref="G43:G44"/>
    <mergeCell ref="N73:N74"/>
    <mergeCell ref="I47:I48"/>
    <mergeCell ref="I85:I86"/>
    <mergeCell ref="I87:I88"/>
    <mergeCell ref="A83:A84"/>
    <mergeCell ref="D87:D88"/>
    <mergeCell ref="A64:A65"/>
    <mergeCell ref="G66:G67"/>
    <mergeCell ref="A29:A30"/>
    <mergeCell ref="A37:A38"/>
    <mergeCell ref="L39:L40"/>
    <mergeCell ref="M39:M40"/>
    <mergeCell ref="J33:J34"/>
    <mergeCell ref="K33:K34"/>
    <mergeCell ref="J39:J40"/>
    <mergeCell ref="K39:K40"/>
    <mergeCell ref="G29:G30"/>
    <mergeCell ref="H29:H30"/>
    <mergeCell ref="A33:A34"/>
    <mergeCell ref="H33:H34"/>
    <mergeCell ref="A31:A32"/>
    <mergeCell ref="H37:H38"/>
    <mergeCell ref="J37:J38"/>
    <mergeCell ref="K37:K38"/>
    <mergeCell ref="L37:L38"/>
    <mergeCell ref="K35:K36"/>
    <mergeCell ref="M29:M30"/>
    <mergeCell ref="E39:E40"/>
    <mergeCell ref="F29:F30"/>
    <mergeCell ref="F31:F32"/>
    <mergeCell ref="F33:F34"/>
    <mergeCell ref="F35:F36"/>
    <mergeCell ref="G33:G34"/>
    <mergeCell ref="G35:G36"/>
    <mergeCell ref="G37:G38"/>
    <mergeCell ref="G39:G40"/>
    <mergeCell ref="D37:D38"/>
    <mergeCell ref="D39:D40"/>
    <mergeCell ref="G31:G32"/>
    <mergeCell ref="I31:I32"/>
    <mergeCell ref="E33:E34"/>
    <mergeCell ref="E35:E36"/>
    <mergeCell ref="E37:E38"/>
    <mergeCell ref="D41:D42"/>
    <mergeCell ref="G41:G42"/>
    <mergeCell ref="G47:G48"/>
    <mergeCell ref="I45:I46"/>
    <mergeCell ref="H43:H44"/>
    <mergeCell ref="I43:I44"/>
    <mergeCell ref="E31:E32"/>
    <mergeCell ref="D31:D32"/>
    <mergeCell ref="N29:N30"/>
    <mergeCell ref="N47:N48"/>
    <mergeCell ref="N43:N44"/>
    <mergeCell ref="N50:N51"/>
    <mergeCell ref="N52:N53"/>
    <mergeCell ref="M52:M53"/>
    <mergeCell ref="N33:N34"/>
    <mergeCell ref="N39:N40"/>
    <mergeCell ref="L29:L30"/>
    <mergeCell ref="M37:M38"/>
    <mergeCell ref="L33:L34"/>
    <mergeCell ref="M33:M34"/>
    <mergeCell ref="L31:L32"/>
    <mergeCell ref="L35:L36"/>
    <mergeCell ref="N35:N36"/>
    <mergeCell ref="M31:M32"/>
    <mergeCell ref="M41:M42"/>
    <mergeCell ref="M45:M46"/>
    <mergeCell ref="N45:N46"/>
    <mergeCell ref="N31:N32"/>
    <mergeCell ref="N37:N38"/>
    <mergeCell ref="N41:N42"/>
    <mergeCell ref="L41:L42"/>
    <mergeCell ref="J170:J171"/>
    <mergeCell ref="L56:L57"/>
    <mergeCell ref="L45:L46"/>
    <mergeCell ref="L54:L55"/>
    <mergeCell ref="M43:M44"/>
    <mergeCell ref="L60:L61"/>
    <mergeCell ref="M47:M48"/>
    <mergeCell ref="M50:M51"/>
    <mergeCell ref="L50:L51"/>
    <mergeCell ref="M62:M63"/>
    <mergeCell ref="M35:M36"/>
    <mergeCell ref="J135:J136"/>
    <mergeCell ref="K135:K136"/>
    <mergeCell ref="J92:J93"/>
    <mergeCell ref="K92:K93"/>
    <mergeCell ref="L92:L93"/>
    <mergeCell ref="M92:M93"/>
    <mergeCell ref="J94:J95"/>
    <mergeCell ref="L135:L136"/>
    <mergeCell ref="L119:L120"/>
    <mergeCell ref="M119:M120"/>
    <mergeCell ref="L43:L44"/>
    <mergeCell ref="L52:L53"/>
    <mergeCell ref="L47:L48"/>
    <mergeCell ref="J52:J53"/>
    <mergeCell ref="J87:J88"/>
    <mergeCell ref="J85:J86"/>
    <mergeCell ref="J102:J103"/>
    <mergeCell ref="K106:K107"/>
    <mergeCell ref="M66:M67"/>
    <mergeCell ref="K182:K183"/>
    <mergeCell ref="L182:L183"/>
    <mergeCell ref="M182:M183"/>
    <mergeCell ref="M164:M165"/>
    <mergeCell ref="K85:K86"/>
    <mergeCell ref="L85:L86"/>
    <mergeCell ref="L144:L145"/>
    <mergeCell ref="M144:M145"/>
    <mergeCell ref="L133:L134"/>
    <mergeCell ref="M133:M134"/>
    <mergeCell ref="L170:L171"/>
    <mergeCell ref="M170:M171"/>
    <mergeCell ref="M77:M78"/>
    <mergeCell ref="K94:K95"/>
    <mergeCell ref="L94:L95"/>
    <mergeCell ref="M94:M95"/>
    <mergeCell ref="M96:M97"/>
    <mergeCell ref="L102:L103"/>
    <mergeCell ref="M102:M103"/>
    <mergeCell ref="K156:K157"/>
    <mergeCell ref="L77:L78"/>
    <mergeCell ref="K148:K149"/>
    <mergeCell ref="K144:K145"/>
    <mergeCell ref="K68:K69"/>
    <mergeCell ref="L71:L72"/>
    <mergeCell ref="L66:L67"/>
    <mergeCell ref="L90:L91"/>
    <mergeCell ref="M90:M91"/>
    <mergeCell ref="N58:N59"/>
    <mergeCell ref="N71:N72"/>
    <mergeCell ref="M85:M86"/>
    <mergeCell ref="J156:J157"/>
    <mergeCell ref="J158:J159"/>
    <mergeCell ref="L156:L157"/>
    <mergeCell ref="J178:J179"/>
    <mergeCell ref="L178:L179"/>
    <mergeCell ref="K174:K175"/>
    <mergeCell ref="K168:K169"/>
    <mergeCell ref="J168:J169"/>
    <mergeCell ref="J174:J175"/>
    <mergeCell ref="K87:K88"/>
    <mergeCell ref="M168:M169"/>
    <mergeCell ref="L174:L175"/>
    <mergeCell ref="M174:M175"/>
    <mergeCell ref="L168:L169"/>
    <mergeCell ref="L79:L80"/>
    <mergeCell ref="M79:M80"/>
    <mergeCell ref="N79:N80"/>
    <mergeCell ref="L139:L140"/>
    <mergeCell ref="M139:M140"/>
    <mergeCell ref="L150:L151"/>
    <mergeCell ref="M156:M157"/>
    <mergeCell ref="L158:L159"/>
    <mergeCell ref="M158:M159"/>
    <mergeCell ref="L162:L163"/>
    <mergeCell ref="M162:M163"/>
    <mergeCell ref="L164:L165"/>
    <mergeCell ref="K62:K63"/>
    <mergeCell ref="L62:L63"/>
    <mergeCell ref="M64:M65"/>
    <mergeCell ref="N182:N183"/>
    <mergeCell ref="N168:N169"/>
    <mergeCell ref="N174:N175"/>
    <mergeCell ref="K158:K159"/>
    <mergeCell ref="K162:K163"/>
    <mergeCell ref="K164:K165"/>
    <mergeCell ref="A62:A63"/>
    <mergeCell ref="H62:H63"/>
    <mergeCell ref="D62:D63"/>
    <mergeCell ref="D64:D65"/>
    <mergeCell ref="F62:F63"/>
    <mergeCell ref="F64:F65"/>
    <mergeCell ref="L87:L88"/>
    <mergeCell ref="M152:M153"/>
    <mergeCell ref="N152:N153"/>
    <mergeCell ref="M178:M179"/>
    <mergeCell ref="K178:K179"/>
    <mergeCell ref="N77:N78"/>
    <mergeCell ref="A180:A181"/>
    <mergeCell ref="H180:H181"/>
    <mergeCell ref="I180:I181"/>
    <mergeCell ref="J180:J181"/>
    <mergeCell ref="K180:K181"/>
    <mergeCell ref="L180:L181"/>
    <mergeCell ref="M180:M181"/>
    <mergeCell ref="N180:N181"/>
    <mergeCell ref="A139:A140"/>
    <mergeCell ref="A141:A142"/>
    <mergeCell ref="G141:G142"/>
    <mergeCell ref="J182:J183"/>
    <mergeCell ref="J162:J163"/>
    <mergeCell ref="J164:J165"/>
    <mergeCell ref="A60:A61"/>
    <mergeCell ref="H60:H61"/>
    <mergeCell ref="A58:A59"/>
    <mergeCell ref="H58:H59"/>
    <mergeCell ref="A56:A57"/>
    <mergeCell ref="H52:H53"/>
    <mergeCell ref="F52:F53"/>
    <mergeCell ref="D58:D59"/>
    <mergeCell ref="D60:D61"/>
    <mergeCell ref="E56:E57"/>
    <mergeCell ref="E58:E59"/>
    <mergeCell ref="E60:E61"/>
    <mergeCell ref="G56:G57"/>
    <mergeCell ref="G58:G59"/>
    <mergeCell ref="G60:G61"/>
    <mergeCell ref="G52:G53"/>
    <mergeCell ref="G54:G55"/>
    <mergeCell ref="H56:H57"/>
    <mergeCell ref="F54:F55"/>
    <mergeCell ref="F56:F57"/>
    <mergeCell ref="F58:F59"/>
    <mergeCell ref="F60:F61"/>
    <mergeCell ref="A52:A53"/>
    <mergeCell ref="D52:D53"/>
    <mergeCell ref="E52:E53"/>
    <mergeCell ref="A54:A55"/>
    <mergeCell ref="D54:D55"/>
    <mergeCell ref="E54:E55"/>
    <mergeCell ref="H6:I6"/>
    <mergeCell ref="H22:H24"/>
    <mergeCell ref="G22:G24"/>
    <mergeCell ref="F22:F24"/>
    <mergeCell ref="E22:E24"/>
    <mergeCell ref="D22:D24"/>
    <mergeCell ref="I22:I24"/>
    <mergeCell ref="J45:J46"/>
    <mergeCell ref="E47:E48"/>
    <mergeCell ref="F37:F38"/>
    <mergeCell ref="F39:F40"/>
    <mergeCell ref="F41:F42"/>
    <mergeCell ref="F43:F44"/>
    <mergeCell ref="F45:F46"/>
    <mergeCell ref="I29:I30"/>
    <mergeCell ref="I33:I34"/>
    <mergeCell ref="I35:I36"/>
    <mergeCell ref="I37:I38"/>
    <mergeCell ref="I39:I40"/>
    <mergeCell ref="D43:D44"/>
    <mergeCell ref="D45:D46"/>
    <mergeCell ref="D33:D34"/>
    <mergeCell ref="D35:D36"/>
    <mergeCell ref="D17:I17"/>
    <mergeCell ref="D18:I18"/>
    <mergeCell ref="D19:I19"/>
    <mergeCell ref="E29:E30"/>
    <mergeCell ref="E41:E42"/>
    <mergeCell ref="E43:E44"/>
    <mergeCell ref="E45:E46"/>
    <mergeCell ref="I41:I42"/>
    <mergeCell ref="D47:D48"/>
    <mergeCell ref="O182:O183"/>
    <mergeCell ref="O29:O30"/>
    <mergeCell ref="O31:O32"/>
    <mergeCell ref="O33:O34"/>
    <mergeCell ref="O35:O36"/>
    <mergeCell ref="O37:O38"/>
    <mergeCell ref="O39:O40"/>
    <mergeCell ref="O41:O42"/>
    <mergeCell ref="O43:O44"/>
    <mergeCell ref="O45:O46"/>
    <mergeCell ref="O47:O48"/>
    <mergeCell ref="O50:O51"/>
    <mergeCell ref="O52:O53"/>
    <mergeCell ref="O54:O55"/>
    <mergeCell ref="O56:O57"/>
    <mergeCell ref="O58:O59"/>
    <mergeCell ref="O60:O61"/>
    <mergeCell ref="O62:O63"/>
    <mergeCell ref="O64:O65"/>
    <mergeCell ref="O66:O67"/>
    <mergeCell ref="O68:O69"/>
    <mergeCell ref="O71:O72"/>
    <mergeCell ref="O73:O74"/>
    <mergeCell ref="O75:O76"/>
    <mergeCell ref="O81:O82"/>
    <mergeCell ref="O83:O84"/>
    <mergeCell ref="O85:O86"/>
    <mergeCell ref="O77:O78"/>
    <mergeCell ref="O79:O80"/>
    <mergeCell ref="O87:O88"/>
    <mergeCell ref="O152:O153"/>
    <mergeCell ref="O180:O181"/>
    <mergeCell ref="O168:O169"/>
    <mergeCell ref="O174:O175"/>
    <mergeCell ref="N178:N179"/>
    <mergeCell ref="O178:O179"/>
    <mergeCell ref="M135:M136"/>
    <mergeCell ref="N135:N136"/>
    <mergeCell ref="O135:O136"/>
    <mergeCell ref="D137:D138"/>
    <mergeCell ref="E137:E138"/>
    <mergeCell ref="F137:F138"/>
    <mergeCell ref="G137:G138"/>
    <mergeCell ref="H137:H138"/>
    <mergeCell ref="I137:I138"/>
    <mergeCell ref="J137:J138"/>
    <mergeCell ref="K137:K138"/>
    <mergeCell ref="L137:L138"/>
    <mergeCell ref="M137:M138"/>
    <mergeCell ref="N137:N138"/>
    <mergeCell ref="O137:O138"/>
    <mergeCell ref="I168:I169"/>
    <mergeCell ref="H164:H165"/>
    <mergeCell ref="I174:I175"/>
    <mergeCell ref="M150:M151"/>
    <mergeCell ref="D139:D140"/>
    <mergeCell ref="E139:E140"/>
    <mergeCell ref="F139:F140"/>
    <mergeCell ref="G139:G140"/>
    <mergeCell ref="D141:D142"/>
    <mergeCell ref="E141:E142"/>
    <mergeCell ref="F141:F142"/>
    <mergeCell ref="J148:J149"/>
    <mergeCell ref="F152:F153"/>
    <mergeCell ref="A158:A159"/>
    <mergeCell ref="G156:G157"/>
    <mergeCell ref="N144:N145"/>
    <mergeCell ref="L148:L149"/>
    <mergeCell ref="M148:M149"/>
    <mergeCell ref="D146:D147"/>
    <mergeCell ref="E146:E147"/>
    <mergeCell ref="F146:F147"/>
    <mergeCell ref="G146:G147"/>
    <mergeCell ref="L146:L147"/>
    <mergeCell ref="M146:M147"/>
    <mergeCell ref="N146:N147"/>
    <mergeCell ref="A150:A151"/>
    <mergeCell ref="D150:D151"/>
    <mergeCell ref="E150:E151"/>
    <mergeCell ref="F150:F151"/>
    <mergeCell ref="H146:H147"/>
    <mergeCell ref="I146:I147"/>
    <mergeCell ref="J146:J147"/>
    <mergeCell ref="K146:K147"/>
    <mergeCell ref="H150:H151"/>
    <mergeCell ref="I150:I151"/>
    <mergeCell ref="J150:J151"/>
    <mergeCell ref="K150:K151"/>
    <mergeCell ref="N150:N151"/>
    <mergeCell ref="A148:A149"/>
    <mergeCell ref="D148:D149"/>
    <mergeCell ref="E148:E149"/>
    <mergeCell ref="F148:F149"/>
    <mergeCell ref="G148:G149"/>
    <mergeCell ref="N148:N149"/>
    <mergeCell ref="J144:J145"/>
    <mergeCell ref="N90:N91"/>
    <mergeCell ref="O90:O91"/>
    <mergeCell ref="A92:A93"/>
    <mergeCell ref="D92:D93"/>
    <mergeCell ref="E92:E93"/>
    <mergeCell ref="N92:N93"/>
    <mergeCell ref="O92:O93"/>
    <mergeCell ref="O96:O97"/>
    <mergeCell ref="A94:A95"/>
    <mergeCell ref="D94:D95"/>
    <mergeCell ref="E94:E95"/>
    <mergeCell ref="A100:A101"/>
    <mergeCell ref="D100:D101"/>
    <mergeCell ref="E100:E101"/>
    <mergeCell ref="F100:F101"/>
    <mergeCell ref="G100:G101"/>
    <mergeCell ref="H100:H101"/>
    <mergeCell ref="I100:I101"/>
    <mergeCell ref="J100:J101"/>
    <mergeCell ref="K100:K101"/>
    <mergeCell ref="L100:L101"/>
    <mergeCell ref="M100:M101"/>
    <mergeCell ref="N100:N101"/>
    <mergeCell ref="J96:J97"/>
    <mergeCell ref="K96:K97"/>
    <mergeCell ref="L96:L97"/>
    <mergeCell ref="A98:A99"/>
    <mergeCell ref="D98:D99"/>
    <mergeCell ref="E98:E99"/>
    <mergeCell ref="L98:L99"/>
    <mergeCell ref="M98:M99"/>
    <mergeCell ref="N98:N99"/>
    <mergeCell ref="N139:N140"/>
    <mergeCell ref="A102:A103"/>
    <mergeCell ref="D102:D103"/>
    <mergeCell ref="E102:E103"/>
    <mergeCell ref="A108:A109"/>
    <mergeCell ref="D108:D109"/>
    <mergeCell ref="E108:E109"/>
    <mergeCell ref="F108:F109"/>
    <mergeCell ref="G108:G109"/>
    <mergeCell ref="L108:L109"/>
    <mergeCell ref="M108:M109"/>
    <mergeCell ref="N108:N109"/>
    <mergeCell ref="A106:A107"/>
    <mergeCell ref="D106:D107"/>
    <mergeCell ref="E106:E107"/>
    <mergeCell ref="F106:F107"/>
    <mergeCell ref="G106:G107"/>
    <mergeCell ref="H106:H107"/>
    <mergeCell ref="I106:I107"/>
    <mergeCell ref="J106:J107"/>
    <mergeCell ref="J133:J134"/>
    <mergeCell ref="K133:K134"/>
    <mergeCell ref="A126:A127"/>
    <mergeCell ref="D126:D127"/>
    <mergeCell ref="N111:N112"/>
    <mergeCell ref="A124:A125"/>
    <mergeCell ref="D124:D125"/>
    <mergeCell ref="E124:E125"/>
    <mergeCell ref="F124:F125"/>
    <mergeCell ref="G124:G125"/>
    <mergeCell ref="H124:H125"/>
    <mergeCell ref="I124:I125"/>
    <mergeCell ref="J124:J125"/>
    <mergeCell ref="K124:K125"/>
    <mergeCell ref="L122:L123"/>
    <mergeCell ref="M122:M123"/>
    <mergeCell ref="N122:N123"/>
    <mergeCell ref="O122:O123"/>
    <mergeCell ref="L124:L125"/>
    <mergeCell ref="M124:M125"/>
    <mergeCell ref="N124:N125"/>
    <mergeCell ref="J98:J99"/>
    <mergeCell ref="K98:K99"/>
    <mergeCell ref="I104:I105"/>
    <mergeCell ref="J104:J105"/>
    <mergeCell ref="K104:K105"/>
    <mergeCell ref="L104:L105"/>
    <mergeCell ref="M104:M105"/>
    <mergeCell ref="N104:N105"/>
    <mergeCell ref="E126:E127"/>
    <mergeCell ref="F126:F127"/>
    <mergeCell ref="G126:G127"/>
    <mergeCell ref="H126:H127"/>
    <mergeCell ref="I126:I127"/>
    <mergeCell ref="J126:J127"/>
    <mergeCell ref="K126:K127"/>
    <mergeCell ref="A128:A129"/>
    <mergeCell ref="D128:D129"/>
    <mergeCell ref="E128:E129"/>
    <mergeCell ref="F128:F129"/>
    <mergeCell ref="G128:G129"/>
    <mergeCell ref="H128:H129"/>
    <mergeCell ref="I128:I129"/>
    <mergeCell ref="J128:J129"/>
    <mergeCell ref="K128:K129"/>
    <mergeCell ref="N133:N134"/>
    <mergeCell ref="M130:M131"/>
    <mergeCell ref="N130:N131"/>
    <mergeCell ref="O133:O134"/>
    <mergeCell ref="O104:O105"/>
    <mergeCell ref="O108:O109"/>
    <mergeCell ref="O106:O107"/>
    <mergeCell ref="O100:O101"/>
    <mergeCell ref="N170:N171"/>
    <mergeCell ref="O170:O171"/>
    <mergeCell ref="A172:A173"/>
    <mergeCell ref="D172:D173"/>
    <mergeCell ref="E172:E173"/>
    <mergeCell ref="F172:F173"/>
    <mergeCell ref="G172:G173"/>
    <mergeCell ref="H172:H173"/>
    <mergeCell ref="I172:I173"/>
    <mergeCell ref="J172:J173"/>
    <mergeCell ref="K172:K173"/>
    <mergeCell ref="L172:L173"/>
    <mergeCell ref="M172:M173"/>
    <mergeCell ref="N172:N173"/>
    <mergeCell ref="O172:O173"/>
    <mergeCell ref="A130:A131"/>
    <mergeCell ref="D130:D131"/>
    <mergeCell ref="E130:E131"/>
    <mergeCell ref="F130:F131"/>
    <mergeCell ref="G130:G131"/>
    <mergeCell ref="H130:H131"/>
    <mergeCell ref="I130:I131"/>
    <mergeCell ref="J130:J131"/>
    <mergeCell ref="K130:K131"/>
    <mergeCell ref="A133:A134"/>
    <mergeCell ref="E133:E134"/>
    <mergeCell ref="L130:L131"/>
    <mergeCell ref="O130:O131"/>
    <mergeCell ref="L126:L127"/>
    <mergeCell ref="M126:M127"/>
    <mergeCell ref="N126:N127"/>
    <mergeCell ref="O126:O127"/>
    <mergeCell ref="L128:L129"/>
    <mergeCell ref="M128:M129"/>
    <mergeCell ref="N128:N129"/>
    <mergeCell ref="O128:O129"/>
    <mergeCell ref="G62:G63"/>
    <mergeCell ref="G64:G65"/>
    <mergeCell ref="I56:I57"/>
    <mergeCell ref="I58:I59"/>
    <mergeCell ref="I60:I61"/>
    <mergeCell ref="N62:N63"/>
    <mergeCell ref="N64:N65"/>
    <mergeCell ref="N60:N61"/>
    <mergeCell ref="J56:J57"/>
    <mergeCell ref="K56:K57"/>
    <mergeCell ref="J58:J59"/>
    <mergeCell ref="K58:K59"/>
    <mergeCell ref="L64:L65"/>
    <mergeCell ref="J62:J63"/>
    <mergeCell ref="N106:N107"/>
    <mergeCell ref="G122:G123"/>
    <mergeCell ref="H122:H123"/>
    <mergeCell ref="I122:I123"/>
    <mergeCell ref="J122:J123"/>
    <mergeCell ref="K122:K123"/>
    <mergeCell ref="J90:J91"/>
    <mergeCell ref="K90:K91"/>
    <mergeCell ref="O124:O125"/>
    <mergeCell ref="A50:A51"/>
    <mergeCell ref="D50:D51"/>
    <mergeCell ref="E50:E51"/>
    <mergeCell ref="I50:I51"/>
    <mergeCell ref="F190:I191"/>
    <mergeCell ref="B11:C11"/>
    <mergeCell ref="B12:C12"/>
    <mergeCell ref="B13:C13"/>
    <mergeCell ref="B14:C14"/>
    <mergeCell ref="B15:C15"/>
    <mergeCell ref="F133:F134"/>
    <mergeCell ref="G133:G134"/>
    <mergeCell ref="H133:H134"/>
    <mergeCell ref="I133:I134"/>
    <mergeCell ref="A122:A123"/>
    <mergeCell ref="D122:D123"/>
    <mergeCell ref="E122:E123"/>
    <mergeCell ref="F122:F123"/>
    <mergeCell ref="A104:A105"/>
    <mergeCell ref="D104:D105"/>
    <mergeCell ref="E104:E105"/>
    <mergeCell ref="F104:F105"/>
    <mergeCell ref="G104:G105"/>
    <mergeCell ref="H104:H105"/>
    <mergeCell ref="A90:A91"/>
    <mergeCell ref="D90:D91"/>
    <mergeCell ref="E90:E91"/>
    <mergeCell ref="H50:H51"/>
    <mergeCell ref="G50:G51"/>
    <mergeCell ref="A71:A72"/>
    <mergeCell ref="D71:D72"/>
    <mergeCell ref="E71:E72"/>
    <mergeCell ref="A73:A74"/>
    <mergeCell ref="D73:D74"/>
    <mergeCell ref="E73:E74"/>
    <mergeCell ref="A77:A78"/>
    <mergeCell ref="D77:D78"/>
    <mergeCell ref="E77:E78"/>
    <mergeCell ref="A75:A76"/>
    <mergeCell ref="D75:D76"/>
    <mergeCell ref="E75:E76"/>
    <mergeCell ref="I71:I72"/>
    <mergeCell ref="I73:I74"/>
    <mergeCell ref="I75:I76"/>
    <mergeCell ref="I77:I78"/>
    <mergeCell ref="G71:G72"/>
    <mergeCell ref="H71:H72"/>
    <mergeCell ref="G73:G74"/>
    <mergeCell ref="H73:H74"/>
    <mergeCell ref="G75:G76"/>
    <mergeCell ref="H75:H76"/>
    <mergeCell ref="G77:G78"/>
    <mergeCell ref="F90:F91"/>
    <mergeCell ref="G90:G91"/>
    <mergeCell ref="K31:K32"/>
    <mergeCell ref="J29:J30"/>
    <mergeCell ref="K29:K30"/>
    <mergeCell ref="J31:J32"/>
    <mergeCell ref="J50:J51"/>
    <mergeCell ref="K50:K51"/>
    <mergeCell ref="K71:K72"/>
    <mergeCell ref="J71:J72"/>
    <mergeCell ref="K73:K74"/>
    <mergeCell ref="J73:J74"/>
    <mergeCell ref="K75:K76"/>
    <mergeCell ref="J75:J76"/>
    <mergeCell ref="K77:K78"/>
    <mergeCell ref="J77:J78"/>
    <mergeCell ref="K79:K80"/>
    <mergeCell ref="J79:J80"/>
    <mergeCell ref="H77:H78"/>
    <mergeCell ref="H31:H32"/>
    <mergeCell ref="J68:J69"/>
    <mergeCell ref="J66:J67"/>
    <mergeCell ref="K66:K67"/>
    <mergeCell ref="K64:K65"/>
    <mergeCell ref="G45:G46"/>
    <mergeCell ref="G79:G80"/>
    <mergeCell ref="G81:G82"/>
    <mergeCell ref="G85:G86"/>
    <mergeCell ref="G87:G88"/>
    <mergeCell ref="G68:G69"/>
  </mergeCells>
  <conditionalFormatting sqref="H156:H159 H162:H165 H168:H169 H178:H179 H182:H183 H152:H153 H174:H175 H31:H48 H50:H51 H71:H88 H54:H69">
    <cfRule type="expression" dxfId="360" priority="148">
      <formula>H31="rumus"</formula>
    </cfRule>
  </conditionalFormatting>
  <conditionalFormatting sqref="D20:I20 D17:D19">
    <cfRule type="expression" dxfId="359" priority="134">
      <formula>D17=""</formula>
    </cfRule>
  </conditionalFormatting>
  <conditionalFormatting sqref="D11:E15">
    <cfRule type="expression" dxfId="358" priority="125">
      <formula>D11=""</formula>
    </cfRule>
  </conditionalFormatting>
  <conditionalFormatting sqref="D14:E14">
    <cfRule type="expression" dxfId="357" priority="124">
      <formula>D14=""</formula>
    </cfRule>
  </conditionalFormatting>
  <conditionalFormatting sqref="H180:H181">
    <cfRule type="expression" dxfId="356" priority="123">
      <formula>H180="rumus"</formula>
    </cfRule>
  </conditionalFormatting>
  <conditionalFormatting sqref="H170:H171">
    <cfRule type="expression" dxfId="355" priority="102">
      <formula>H170="rumus"</formula>
    </cfRule>
  </conditionalFormatting>
  <conditionalFormatting sqref="H172:H173">
    <cfRule type="expression" dxfId="354" priority="101">
      <formula>H172="rumus"</formula>
    </cfRule>
  </conditionalFormatting>
  <conditionalFormatting sqref="H94:H95">
    <cfRule type="expression" dxfId="353" priority="98">
      <formula>H94="rumus"</formula>
    </cfRule>
  </conditionalFormatting>
  <conditionalFormatting sqref="H92:H93">
    <cfRule type="expression" dxfId="352" priority="99">
      <formula>H92="rumus"</formula>
    </cfRule>
  </conditionalFormatting>
  <conditionalFormatting sqref="H96:H97">
    <cfRule type="expression" dxfId="351" priority="97">
      <formula>H96="rumus"</formula>
    </cfRule>
  </conditionalFormatting>
  <conditionalFormatting sqref="H98:H99">
    <cfRule type="expression" dxfId="350" priority="96">
      <formula>H98="rumus"</formula>
    </cfRule>
  </conditionalFormatting>
  <conditionalFormatting sqref="H100:H101">
    <cfRule type="expression" dxfId="349" priority="95">
      <formula>H100="rumus"</formula>
    </cfRule>
  </conditionalFormatting>
  <conditionalFormatting sqref="H102:H103">
    <cfRule type="expression" dxfId="348" priority="94">
      <formula>H102="rumus"</formula>
    </cfRule>
  </conditionalFormatting>
  <conditionalFormatting sqref="H104:H105">
    <cfRule type="expression" dxfId="347" priority="93">
      <formula>H104="rumus"</formula>
    </cfRule>
  </conditionalFormatting>
  <conditionalFormatting sqref="H106:H107">
    <cfRule type="expression" dxfId="346" priority="92">
      <formula>H106="rumus"</formula>
    </cfRule>
  </conditionalFormatting>
  <conditionalFormatting sqref="H108:H109">
    <cfRule type="expression" dxfId="345" priority="91">
      <formula>H108="rumus"</formula>
    </cfRule>
  </conditionalFormatting>
  <conditionalFormatting sqref="H111:H112">
    <cfRule type="expression" dxfId="344" priority="90">
      <formula>H111="rumus"</formula>
    </cfRule>
  </conditionalFormatting>
  <conditionalFormatting sqref="H113:H114">
    <cfRule type="expression" dxfId="343" priority="89">
      <formula>H113="rumus"</formula>
    </cfRule>
  </conditionalFormatting>
  <conditionalFormatting sqref="H115:H116">
    <cfRule type="expression" dxfId="342" priority="88">
      <formula>H115="rumus"</formula>
    </cfRule>
  </conditionalFormatting>
  <conditionalFormatting sqref="H117:H118">
    <cfRule type="expression" dxfId="341" priority="87">
      <formula>H117="rumus"</formula>
    </cfRule>
  </conditionalFormatting>
  <conditionalFormatting sqref="H119:H120">
    <cfRule type="expression" dxfId="340" priority="86">
      <formula>H119="rumus"</formula>
    </cfRule>
  </conditionalFormatting>
  <conditionalFormatting sqref="H122:H123">
    <cfRule type="expression" dxfId="339" priority="85">
      <formula>H122="rumus"</formula>
    </cfRule>
  </conditionalFormatting>
  <conditionalFormatting sqref="H124:H125">
    <cfRule type="expression" dxfId="338" priority="84">
      <formula>H124="rumus"</formula>
    </cfRule>
  </conditionalFormatting>
  <conditionalFormatting sqref="H126:H127">
    <cfRule type="expression" dxfId="337" priority="83">
      <formula>H126="rumus"</formula>
    </cfRule>
  </conditionalFormatting>
  <conditionalFormatting sqref="H128:H129">
    <cfRule type="expression" dxfId="336" priority="81">
      <formula>H128="rumus"</formula>
    </cfRule>
  </conditionalFormatting>
  <conditionalFormatting sqref="H130:H131">
    <cfRule type="expression" dxfId="335" priority="80">
      <formula>H130="rumus"</formula>
    </cfRule>
  </conditionalFormatting>
  <conditionalFormatting sqref="H133:H134">
    <cfRule type="expression" dxfId="334" priority="79">
      <formula>H133="rumus"</formula>
    </cfRule>
  </conditionalFormatting>
  <conditionalFormatting sqref="H135:H136">
    <cfRule type="expression" dxfId="333" priority="78">
      <formula>H135="rumus"</formula>
    </cfRule>
  </conditionalFormatting>
  <conditionalFormatting sqref="H137:H138">
    <cfRule type="expression" dxfId="332" priority="77">
      <formula>H137="rumus"</formula>
    </cfRule>
  </conditionalFormatting>
  <conditionalFormatting sqref="H139:H140">
    <cfRule type="expression" dxfId="331" priority="76">
      <formula>H139="rumus"</formula>
    </cfRule>
  </conditionalFormatting>
  <conditionalFormatting sqref="H141:H142">
    <cfRule type="expression" dxfId="330" priority="75">
      <formula>H141="rumus"</formula>
    </cfRule>
  </conditionalFormatting>
  <conditionalFormatting sqref="H144:H145">
    <cfRule type="expression" dxfId="329" priority="74">
      <formula>H144="rumus"</formula>
    </cfRule>
  </conditionalFormatting>
  <conditionalFormatting sqref="H146:H147">
    <cfRule type="expression" dxfId="328" priority="73">
      <formula>H146="rumus"</formula>
    </cfRule>
  </conditionalFormatting>
  <conditionalFormatting sqref="H148:H149">
    <cfRule type="expression" dxfId="327" priority="72">
      <formula>H148="rumus"</formula>
    </cfRule>
  </conditionalFormatting>
  <conditionalFormatting sqref="H150:H151">
    <cfRule type="expression" dxfId="326" priority="71">
      <formula>H150="rumus"</formula>
    </cfRule>
  </conditionalFormatting>
  <conditionalFormatting sqref="F29:F30">
    <cfRule type="expression" dxfId="325" priority="70">
      <formula>F29="rumus"</formula>
    </cfRule>
  </conditionalFormatting>
  <conditionalFormatting sqref="F31:F32">
    <cfRule type="expression" dxfId="324" priority="69">
      <formula>F31="rumus"</formula>
    </cfRule>
  </conditionalFormatting>
  <conditionalFormatting sqref="F33:F34">
    <cfRule type="expression" dxfId="323" priority="68">
      <formula>F33="rumus"</formula>
    </cfRule>
  </conditionalFormatting>
  <conditionalFormatting sqref="F35:F36">
    <cfRule type="expression" dxfId="322" priority="67">
      <formula>F35="rumus"</formula>
    </cfRule>
  </conditionalFormatting>
  <conditionalFormatting sqref="F37:F38">
    <cfRule type="expression" dxfId="321" priority="66">
      <formula>F37="rumus"</formula>
    </cfRule>
  </conditionalFormatting>
  <conditionalFormatting sqref="F39:F40">
    <cfRule type="expression" dxfId="320" priority="65">
      <formula>F39="rumus"</formula>
    </cfRule>
  </conditionalFormatting>
  <conditionalFormatting sqref="F41:F42">
    <cfRule type="expression" dxfId="319" priority="64">
      <formula>F41="rumus"</formula>
    </cfRule>
  </conditionalFormatting>
  <conditionalFormatting sqref="F43:F44">
    <cfRule type="expression" dxfId="318" priority="63">
      <formula>F43="rumus"</formula>
    </cfRule>
  </conditionalFormatting>
  <conditionalFormatting sqref="F45:F46">
    <cfRule type="expression" dxfId="317" priority="62">
      <formula>F45="rumus"</formula>
    </cfRule>
  </conditionalFormatting>
  <conditionalFormatting sqref="F47:F48">
    <cfRule type="expression" dxfId="316" priority="61">
      <formula>F47="rumus"</formula>
    </cfRule>
  </conditionalFormatting>
  <conditionalFormatting sqref="F50:F51">
    <cfRule type="expression" dxfId="315" priority="60">
      <formula>F50="rumus"</formula>
    </cfRule>
  </conditionalFormatting>
  <conditionalFormatting sqref="F52:F53">
    <cfRule type="expression" dxfId="314" priority="59">
      <formula>F52="rumus"</formula>
    </cfRule>
  </conditionalFormatting>
  <conditionalFormatting sqref="F54:F55">
    <cfRule type="expression" dxfId="313" priority="58">
      <formula>F54="rumus"</formula>
    </cfRule>
  </conditionalFormatting>
  <conditionalFormatting sqref="F56:F57">
    <cfRule type="expression" dxfId="312" priority="57">
      <formula>F56="rumus"</formula>
    </cfRule>
  </conditionalFormatting>
  <conditionalFormatting sqref="F58:F59">
    <cfRule type="expression" dxfId="311" priority="56">
      <formula>F58="rumus"</formula>
    </cfRule>
  </conditionalFormatting>
  <conditionalFormatting sqref="F60:F61">
    <cfRule type="expression" dxfId="310" priority="55">
      <formula>F60="rumus"</formula>
    </cfRule>
  </conditionalFormatting>
  <conditionalFormatting sqref="F62:F63">
    <cfRule type="expression" dxfId="309" priority="54">
      <formula>F62="rumus"</formula>
    </cfRule>
  </conditionalFormatting>
  <conditionalFormatting sqref="F64:F65">
    <cfRule type="expression" dxfId="308" priority="53">
      <formula>F64="rumus"</formula>
    </cfRule>
  </conditionalFormatting>
  <conditionalFormatting sqref="F66:F67">
    <cfRule type="expression" dxfId="307" priority="52">
      <formula>F66="rumus"</formula>
    </cfRule>
  </conditionalFormatting>
  <conditionalFormatting sqref="F68:F69">
    <cfRule type="expression" dxfId="306" priority="51">
      <formula>F68="rumus"</formula>
    </cfRule>
  </conditionalFormatting>
  <conditionalFormatting sqref="F71:F72">
    <cfRule type="expression" dxfId="305" priority="50">
      <formula>F71="rumus"</formula>
    </cfRule>
  </conditionalFormatting>
  <conditionalFormatting sqref="F73:F74">
    <cfRule type="expression" dxfId="304" priority="48">
      <formula>F73="rumus"</formula>
    </cfRule>
  </conditionalFormatting>
  <conditionalFormatting sqref="F75:F76">
    <cfRule type="expression" dxfId="303" priority="47">
      <formula>F75="rumus"</formula>
    </cfRule>
  </conditionalFormatting>
  <conditionalFormatting sqref="F77:F78">
    <cfRule type="expression" dxfId="302" priority="46">
      <formula>F77="rumus"</formula>
    </cfRule>
  </conditionalFormatting>
  <conditionalFormatting sqref="F79:F80">
    <cfRule type="expression" dxfId="301" priority="45">
      <formula>F79="rumus"</formula>
    </cfRule>
  </conditionalFormatting>
  <conditionalFormatting sqref="F81:F82">
    <cfRule type="expression" dxfId="300" priority="44">
      <formula>F81="rumus"</formula>
    </cfRule>
  </conditionalFormatting>
  <conditionalFormatting sqref="F83:F84">
    <cfRule type="expression" dxfId="299" priority="43">
      <formula>F83="rumus"</formula>
    </cfRule>
  </conditionalFormatting>
  <conditionalFormatting sqref="F85:F86">
    <cfRule type="expression" dxfId="298" priority="42">
      <formula>F85="rumus"</formula>
    </cfRule>
  </conditionalFormatting>
  <conditionalFormatting sqref="F87:F88">
    <cfRule type="expression" dxfId="297" priority="41">
      <formula>F87="rumus"</formula>
    </cfRule>
  </conditionalFormatting>
  <conditionalFormatting sqref="F90:F91">
    <cfRule type="expression" dxfId="296" priority="40">
      <formula>F90="rumus"</formula>
    </cfRule>
  </conditionalFormatting>
  <conditionalFormatting sqref="F92:F93">
    <cfRule type="expression" dxfId="295" priority="39">
      <formula>F92="rumus"</formula>
    </cfRule>
  </conditionalFormatting>
  <conditionalFormatting sqref="F94:F95">
    <cfRule type="expression" dxfId="294" priority="38">
      <formula>F94="rumus"</formula>
    </cfRule>
  </conditionalFormatting>
  <conditionalFormatting sqref="F96:F97">
    <cfRule type="expression" dxfId="293" priority="37">
      <formula>F96="rumus"</formula>
    </cfRule>
  </conditionalFormatting>
  <conditionalFormatting sqref="F98:F99">
    <cfRule type="expression" dxfId="292" priority="36">
      <formula>F98="rumus"</formula>
    </cfRule>
  </conditionalFormatting>
  <conditionalFormatting sqref="F100:F101">
    <cfRule type="expression" dxfId="291" priority="35">
      <formula>F100="rumus"</formula>
    </cfRule>
  </conditionalFormatting>
  <conditionalFormatting sqref="F102:F103">
    <cfRule type="expression" dxfId="290" priority="34">
      <formula>F102="rumus"</formula>
    </cfRule>
  </conditionalFormatting>
  <conditionalFormatting sqref="F104:F105">
    <cfRule type="expression" dxfId="289" priority="33">
      <formula>F104="rumus"</formula>
    </cfRule>
  </conditionalFormatting>
  <conditionalFormatting sqref="F106:F107">
    <cfRule type="expression" dxfId="288" priority="32">
      <formula>F106="rumus"</formula>
    </cfRule>
  </conditionalFormatting>
  <conditionalFormatting sqref="F108:F109">
    <cfRule type="expression" dxfId="287" priority="31">
      <formula>F108="rumus"</formula>
    </cfRule>
  </conditionalFormatting>
  <conditionalFormatting sqref="F111:F112">
    <cfRule type="expression" dxfId="286" priority="30">
      <formula>F111="rumus"</formula>
    </cfRule>
  </conditionalFormatting>
  <conditionalFormatting sqref="F113:F114">
    <cfRule type="expression" dxfId="285" priority="29">
      <formula>F113="rumus"</formula>
    </cfRule>
  </conditionalFormatting>
  <conditionalFormatting sqref="F115:F116">
    <cfRule type="expression" dxfId="284" priority="28">
      <formula>F115="rumus"</formula>
    </cfRule>
  </conditionalFormatting>
  <conditionalFormatting sqref="F117:F118">
    <cfRule type="expression" dxfId="283" priority="27">
      <formula>F117="rumus"</formula>
    </cfRule>
  </conditionalFormatting>
  <conditionalFormatting sqref="F119:F120">
    <cfRule type="expression" dxfId="282" priority="26">
      <formula>F119="rumus"</formula>
    </cfRule>
  </conditionalFormatting>
  <conditionalFormatting sqref="F122:F123">
    <cfRule type="expression" dxfId="281" priority="25">
      <formula>F122="rumus"</formula>
    </cfRule>
  </conditionalFormatting>
  <conditionalFormatting sqref="F124:F125">
    <cfRule type="expression" dxfId="280" priority="24">
      <formula>F124="rumus"</formula>
    </cfRule>
  </conditionalFormatting>
  <conditionalFormatting sqref="F126:F127">
    <cfRule type="expression" dxfId="279" priority="23">
      <formula>F126="rumus"</formula>
    </cfRule>
  </conditionalFormatting>
  <conditionalFormatting sqref="F128:F129">
    <cfRule type="expression" dxfId="278" priority="22">
      <formula>F128="rumus"</formula>
    </cfRule>
  </conditionalFormatting>
  <conditionalFormatting sqref="F130:F131">
    <cfRule type="expression" dxfId="277" priority="21">
      <formula>F130="rumus"</formula>
    </cfRule>
  </conditionalFormatting>
  <conditionalFormatting sqref="F133:F134">
    <cfRule type="expression" dxfId="276" priority="20">
      <formula>F133="rumus"</formula>
    </cfRule>
  </conditionalFormatting>
  <conditionalFormatting sqref="F135:F136">
    <cfRule type="expression" dxfId="275" priority="19">
      <formula>F135="rumus"</formula>
    </cfRule>
  </conditionalFormatting>
  <conditionalFormatting sqref="F137:F138">
    <cfRule type="expression" dxfId="274" priority="18">
      <formula>F137="rumus"</formula>
    </cfRule>
  </conditionalFormatting>
  <conditionalFormatting sqref="F139:F140">
    <cfRule type="expression" dxfId="273" priority="17">
      <formula>F139="rumus"</formula>
    </cfRule>
  </conditionalFormatting>
  <conditionalFormatting sqref="F141:F142">
    <cfRule type="expression" dxfId="272" priority="16">
      <formula>F141="rumus"</formula>
    </cfRule>
  </conditionalFormatting>
  <conditionalFormatting sqref="F144:F145">
    <cfRule type="expression" dxfId="271" priority="15">
      <formula>F144="rumus"</formula>
    </cfRule>
  </conditionalFormatting>
  <conditionalFormatting sqref="F146:F147">
    <cfRule type="expression" dxfId="270" priority="14">
      <formula>F146="rumus"</formula>
    </cfRule>
  </conditionalFormatting>
  <conditionalFormatting sqref="F148:F149">
    <cfRule type="expression" dxfId="269" priority="13">
      <formula>F148="rumus"</formula>
    </cfRule>
  </conditionalFormatting>
  <conditionalFormatting sqref="F150:F151">
    <cfRule type="expression" dxfId="268" priority="12">
      <formula>F150="rumus"</formula>
    </cfRule>
  </conditionalFormatting>
  <conditionalFormatting sqref="F152:F153">
    <cfRule type="expression" dxfId="267" priority="11">
      <formula>F152="rumus"</formula>
    </cfRule>
  </conditionalFormatting>
  <conditionalFormatting sqref="F156:F157">
    <cfRule type="expression" dxfId="266" priority="10">
      <formula>F156="rumus"</formula>
    </cfRule>
  </conditionalFormatting>
  <conditionalFormatting sqref="F158:F159">
    <cfRule type="expression" dxfId="265" priority="9">
      <formula>F158="rumus"</formula>
    </cfRule>
  </conditionalFormatting>
  <conditionalFormatting sqref="F162:F163">
    <cfRule type="expression" dxfId="264" priority="8">
      <formula>F162="rumus"</formula>
    </cfRule>
  </conditionalFormatting>
  <conditionalFormatting sqref="F164:F165">
    <cfRule type="expression" dxfId="263" priority="7">
      <formula>F164="rumus"</formula>
    </cfRule>
  </conditionalFormatting>
  <conditionalFormatting sqref="F168:F169">
    <cfRule type="expression" dxfId="262" priority="6">
      <formula>F168="rumus"</formula>
    </cfRule>
  </conditionalFormatting>
  <conditionalFormatting sqref="F170:F171">
    <cfRule type="expression" dxfId="261" priority="5">
      <formula>F170="rumus"</formula>
    </cfRule>
  </conditionalFormatting>
  <conditionalFormatting sqref="F172:F173">
    <cfRule type="expression" dxfId="260" priority="4">
      <formula>F172="rumus"</formula>
    </cfRule>
  </conditionalFormatting>
  <conditionalFormatting sqref="F174:F175">
    <cfRule type="expression" dxfId="259" priority="3">
      <formula>F174="rumus"</formula>
    </cfRule>
  </conditionalFormatting>
  <conditionalFormatting sqref="H90:H91">
    <cfRule type="expression" dxfId="258" priority="2">
      <formula>H90="rumus"</formula>
    </cfRule>
  </conditionalFormatting>
  <conditionalFormatting sqref="H52:H53">
    <cfRule type="expression" dxfId="257" priority="1">
      <formula>H52="rumus"</formula>
    </cfRule>
  </conditionalFormatting>
  <dataValidations xWindow="563" yWindow="444" count="7">
    <dataValidation type="list" allowBlank="1" showInputMessage="1" showErrorMessage="1" prompt="pilih dengan mengklik segitiga dipojok kotak" sqref="K168:K175" xr:uid="{00000000-0002-0000-0200-000000000000}">
      <formula1>"a.Internasional,b.Nasional"</formula1>
    </dataValidation>
    <dataValidation type="list" allowBlank="1" showInputMessage="1" showErrorMessage="1" prompt="pilih dengan mengklik segitiga dipojok kotak" sqref="K178:K183" xr:uid="{00000000-0002-0000-0200-000001000000}">
      <formula1>"a.Internasional,b.Nasional,c.Lokal"</formula1>
    </dataValidation>
    <dataValidation type="list" allowBlank="1" showInputMessage="1" showErrorMessage="1" prompt="pilih dengan mengklik segitiga dipojok kotak" sqref="J110 J156:J159 J178:J183 J162:J165 J143 J132 J121 J89 J70 J49 J168:J175" xr:uid="{00000000-0002-0000-0200-000002000000}">
      <formula1>"1 Penulis,2 Penulis (ke-1),2 Penulis (ke-2),3 Penulis (ke-1),3 Penulis (ke-2),3 Penulis (ke-3),4 Penulis (ke-1),4 Penulis (ke-2),4 Penulis (ke-3),4 Penulis (ke-4)"</formula1>
    </dataValidation>
    <dataValidation type="list" allowBlank="1" showInputMessage="1" showErrorMessage="1" sqref="K26" xr:uid="{00000000-0002-0000-0200-000003000000}">
      <formula1>"a"</formula1>
    </dataValidation>
    <dataValidation type="list" allowBlank="1" showInputMessage="1" showErrorMessage="1" prompt="pilih dengan mengklik segitiga dipojok kotak" sqref="K156:K159" xr:uid="{00000000-0002-0000-0200-000004000000}">
      <formula1>"Menerjemahkan/menyadur BUKU ILMIAH persemester"</formula1>
    </dataValidation>
    <dataValidation type="list" allowBlank="1" showInputMessage="1" showErrorMessage="1" prompt="pilih dengan mengklik segitiga dipojok kotak" sqref="K162:K165" xr:uid="{00000000-0002-0000-0200-000005000000}">
      <formula1>"Mengedit/menyunting KARYA ILMIAH persemester"</formula1>
    </dataValidation>
    <dataValidation type="list" allowBlank="1" showInputMessage="1" showErrorMessage="1" prompt="pilih dengan mengklik segitiga dipojok kotak" sqref="J144:J153 J122:J131 J50:J69 J29:J48 J111:J120 J90:J109 J133:J142 J71:J88" xr:uid="{00000000-0002-0000-0200-000006000000}">
      <formula1>"1 Penulis (ke-1),2 Penulis (ke-1),2 Penulis (ke-2),3 Penulis (ke-1),3 Penulis (ke-2),3 Penulis (ke-3),4 Penulis (ke-1),4 Penulis (ke-2),4 Penulis (ke-3),4 Penulis (ke-4)"</formula1>
    </dataValidation>
  </dataValidations>
  <pageMargins left="0.7" right="0.7" top="0.42" bottom="0.45" header="0.2" footer="0.3"/>
  <pageSetup paperSize="9" scale="85" orientation="landscape" r:id="rId1"/>
  <extLst>
    <ext xmlns:x14="http://schemas.microsoft.com/office/spreadsheetml/2009/9/main" uri="{CCE6A557-97BC-4b89-ADB6-D9C93CAAB3DF}">
      <x14:dataValidations xmlns:xm="http://schemas.microsoft.com/office/excel/2006/main" xWindow="563" yWindow="444" count="1">
        <x14:dataValidation type="list" allowBlank="1" showInputMessage="1" showErrorMessage="1" xr:uid="{00000000-0002-0000-0200-000007000000}">
          <x14:formula1>
            <xm:f>List!$E$2:$E$23</xm:f>
          </x14:formula1>
          <xm:sqref>K29:K153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V155"/>
  <sheetViews>
    <sheetView topLeftCell="A58" zoomScale="40" zoomScaleNormal="40" workbookViewId="0">
      <selection activeCell="D35" sqref="D35:D36"/>
    </sheetView>
  </sheetViews>
  <sheetFormatPr defaultRowHeight="14.25" x14ac:dyDescent="0.45"/>
  <cols>
    <col min="1" max="1" width="9.19921875" style="530"/>
    <col min="2" max="2" width="9.19921875" style="2"/>
    <col min="3" max="3" width="32.53125" style="2" customWidth="1"/>
    <col min="4" max="4" width="13.796875" customWidth="1"/>
    <col min="5" max="5" width="13.265625" style="3" customWidth="1"/>
    <col min="6" max="11" width="13.46484375" style="3" customWidth="1"/>
  </cols>
  <sheetData>
    <row r="1" spans="1:22" x14ac:dyDescent="0.45">
      <c r="E1"/>
      <c r="F1"/>
      <c r="G1"/>
      <c r="H1"/>
      <c r="I1"/>
      <c r="J1"/>
      <c r="K1"/>
    </row>
    <row r="2" spans="1:22" x14ac:dyDescent="0.45">
      <c r="E2"/>
      <c r="F2"/>
      <c r="G2"/>
      <c r="H2"/>
      <c r="I2"/>
      <c r="J2"/>
      <c r="K2"/>
    </row>
    <row r="3" spans="1:22" ht="15.75" customHeight="1" x14ac:dyDescent="0.45">
      <c r="A3" s="1050" t="s">
        <v>625</v>
      </c>
      <c r="B3" s="1050"/>
      <c r="C3" s="1050"/>
      <c r="D3" s="1050"/>
      <c r="E3" s="1050"/>
      <c r="F3" s="1050"/>
      <c r="G3" s="1050"/>
      <c r="H3" s="1050"/>
      <c r="I3" s="1050"/>
      <c r="J3" s="1050"/>
      <c r="K3" s="1050"/>
    </row>
    <row r="4" spans="1:22" ht="15.75" customHeight="1" x14ac:dyDescent="0.45">
      <c r="A4" s="1050" t="s">
        <v>626</v>
      </c>
      <c r="B4" s="1050"/>
      <c r="C4" s="1050"/>
      <c r="D4" s="1050"/>
      <c r="E4" s="1050"/>
      <c r="F4" s="1050"/>
      <c r="G4" s="1050"/>
      <c r="H4" s="1050"/>
      <c r="I4" s="1050"/>
      <c r="J4" s="1050"/>
      <c r="K4" s="1050"/>
    </row>
    <row r="5" spans="1:22" ht="15" customHeight="1" x14ac:dyDescent="0.45">
      <c r="A5" s="562">
        <v>1</v>
      </c>
      <c r="B5" s="1080" t="s">
        <v>47</v>
      </c>
      <c r="C5" s="1080"/>
      <c r="D5" s="1081" t="s">
        <v>643</v>
      </c>
      <c r="E5" s="1081"/>
      <c r="F5" s="1081"/>
      <c r="G5" s="1081"/>
      <c r="H5" s="1081"/>
      <c r="I5" s="1081"/>
      <c r="J5" s="1081"/>
      <c r="K5" s="1081"/>
      <c r="M5" t="s">
        <v>68</v>
      </c>
      <c r="O5" s="2"/>
      <c r="P5" s="2"/>
      <c r="Q5" s="2"/>
      <c r="R5" s="2"/>
      <c r="S5" s="2"/>
      <c r="T5" s="2"/>
    </row>
    <row r="6" spans="1:22" x14ac:dyDescent="0.45">
      <c r="A6" s="563">
        <v>2</v>
      </c>
      <c r="B6" s="1082" t="s">
        <v>96</v>
      </c>
      <c r="C6" s="1082"/>
      <c r="D6" s="1083" t="s">
        <v>627</v>
      </c>
      <c r="E6" s="1081"/>
      <c r="F6" s="1081"/>
      <c r="G6" s="1081"/>
      <c r="H6" s="1081"/>
      <c r="I6" s="1081"/>
      <c r="J6" s="1081"/>
      <c r="K6" s="1081"/>
      <c r="M6" s="15"/>
      <c r="N6" s="15" t="s">
        <v>616</v>
      </c>
      <c r="O6" s="558"/>
      <c r="P6" s="558"/>
      <c r="Q6" s="558"/>
      <c r="R6" s="558"/>
      <c r="S6" s="558"/>
      <c r="T6" s="558"/>
      <c r="U6" s="15"/>
      <c r="V6" s="15"/>
    </row>
    <row r="7" spans="1:22" x14ac:dyDescent="0.45">
      <c r="A7" s="563">
        <v>3</v>
      </c>
      <c r="B7" s="1082" t="s">
        <v>48</v>
      </c>
      <c r="C7" s="1082"/>
      <c r="D7" s="1081" t="s">
        <v>628</v>
      </c>
      <c r="E7" s="1081"/>
      <c r="F7" s="1081"/>
      <c r="G7" s="1081"/>
      <c r="H7" s="1081"/>
      <c r="I7" s="1081"/>
      <c r="J7" s="1081"/>
      <c r="K7" s="1081"/>
      <c r="M7" s="17"/>
      <c r="N7" s="554" t="s">
        <v>807</v>
      </c>
      <c r="O7" s="17"/>
      <c r="P7" s="17"/>
      <c r="Q7" s="17"/>
      <c r="R7" s="17"/>
      <c r="S7" s="17"/>
      <c r="T7" s="17"/>
      <c r="U7" s="523"/>
      <c r="V7" s="523"/>
    </row>
    <row r="8" spans="1:22" ht="15" customHeight="1" x14ac:dyDescent="0.45">
      <c r="A8" s="563">
        <v>4</v>
      </c>
      <c r="B8" s="1082" t="s">
        <v>49</v>
      </c>
      <c r="C8" s="1082"/>
      <c r="D8" s="1081" t="s">
        <v>629</v>
      </c>
      <c r="E8" s="1081"/>
      <c r="F8" s="1081"/>
      <c r="G8" s="1081"/>
      <c r="H8" s="1081"/>
      <c r="I8" s="1081"/>
      <c r="J8" s="1081"/>
      <c r="K8" s="1081"/>
      <c r="M8" s="2"/>
      <c r="N8" s="989" t="s">
        <v>808</v>
      </c>
      <c r="O8" s="989"/>
      <c r="P8" s="989"/>
      <c r="Q8" s="989"/>
      <c r="R8" s="989"/>
      <c r="S8" s="989"/>
      <c r="T8" s="989"/>
    </row>
    <row r="9" spans="1:22" ht="15" customHeight="1" x14ac:dyDescent="0.45">
      <c r="A9" s="1038" t="s">
        <v>630</v>
      </c>
      <c r="B9" s="969"/>
      <c r="C9" s="969"/>
      <c r="D9" s="969"/>
      <c r="E9" s="969"/>
      <c r="F9" s="969"/>
      <c r="G9" s="969"/>
      <c r="H9" s="969"/>
      <c r="I9" s="969"/>
      <c r="J9" s="969"/>
      <c r="K9" s="970"/>
      <c r="N9" s="989"/>
      <c r="O9" s="989"/>
      <c r="P9" s="989"/>
      <c r="Q9" s="989"/>
      <c r="R9" s="989"/>
      <c r="S9" s="989"/>
      <c r="T9" s="989"/>
    </row>
    <row r="10" spans="1:22" ht="34.9" x14ac:dyDescent="0.45">
      <c r="A10" s="564" t="s">
        <v>42</v>
      </c>
      <c r="B10" s="1084" t="s">
        <v>605</v>
      </c>
      <c r="C10" s="1084"/>
      <c r="D10" s="565" t="s">
        <v>606</v>
      </c>
      <c r="E10" s="565" t="s">
        <v>631</v>
      </c>
      <c r="F10" s="531" t="s">
        <v>638</v>
      </c>
      <c r="G10" s="531" t="s">
        <v>639</v>
      </c>
      <c r="H10" s="531" t="s">
        <v>640</v>
      </c>
      <c r="I10" s="531" t="s">
        <v>641</v>
      </c>
      <c r="J10" s="531" t="s">
        <v>632</v>
      </c>
      <c r="K10" s="531" t="s">
        <v>633</v>
      </c>
      <c r="N10" s="989"/>
      <c r="O10" s="989"/>
      <c r="P10" s="989"/>
      <c r="Q10" s="989"/>
      <c r="R10" s="989"/>
      <c r="S10" s="989"/>
      <c r="T10" s="989"/>
    </row>
    <row r="11" spans="1:22" ht="21.75" customHeight="1" x14ac:dyDescent="0.45">
      <c r="A11" s="1068" t="s">
        <v>802</v>
      </c>
      <c r="B11" s="1069"/>
      <c r="C11" s="1069"/>
      <c r="D11" s="790"/>
      <c r="E11" s="791"/>
      <c r="F11" s="792"/>
      <c r="G11" s="793"/>
      <c r="H11" s="792"/>
      <c r="I11" s="793"/>
      <c r="J11" s="792"/>
      <c r="K11" s="794"/>
    </row>
    <row r="12" spans="1:22" ht="33" customHeight="1" x14ac:dyDescent="0.45">
      <c r="A12" s="1063">
        <v>1</v>
      </c>
      <c r="B12" s="1062" t="str">
        <f>IF('LAMPIRAN III DONE'!C29=0,"",'LAMPIRAN III DONE'!C29)</f>
        <v>Simon Siregar, Marlindia Ike Sari, Rakhmi Jauhari</v>
      </c>
      <c r="C12" s="1062"/>
      <c r="D12" s="1063">
        <f>'LAMPIRAN III DONE'!N29</f>
        <v>24</v>
      </c>
      <c r="E12" s="1064" t="str">
        <f>'LAMPIRAN III DONE'!E29</f>
        <v>Jurnal International Bereputasi</v>
      </c>
      <c r="F12" s="1066"/>
      <c r="G12" s="1060">
        <f>F12/100*D12</f>
        <v>0</v>
      </c>
      <c r="H12" s="1066"/>
      <c r="I12" s="1060">
        <f>H12/100*D12</f>
        <v>0</v>
      </c>
      <c r="J12" s="1066">
        <f>(F12+H12)/2</f>
        <v>0</v>
      </c>
      <c r="K12" s="1060">
        <f>(J12/100)*D12</f>
        <v>0</v>
      </c>
    </row>
    <row r="13" spans="1:22" ht="69.5" customHeight="1" x14ac:dyDescent="0.45">
      <c r="A13" s="1063"/>
      <c r="B13" s="1062" t="str">
        <f>IF('LAMPIRAN III DONE'!C30=0,"",'LAMPIRAN III DONE'!C30)</f>
        <v>Automation System Hydroponic Using Smart Solar Power Plant Unit
Jurnal Teknologi
Terakreditasi
Vol 78, No 5-7, 2016</v>
      </c>
      <c r="C13" s="1062"/>
      <c r="D13" s="1063"/>
      <c r="E13" s="1065"/>
      <c r="F13" s="1067"/>
      <c r="G13" s="1061"/>
      <c r="H13" s="1067"/>
      <c r="I13" s="1061"/>
      <c r="J13" s="1067"/>
      <c r="K13" s="1061"/>
    </row>
    <row r="14" spans="1:22" ht="29.25" customHeight="1" x14ac:dyDescent="0.45">
      <c r="A14" s="1063">
        <v>2</v>
      </c>
      <c r="B14" s="1062" t="str">
        <f>IF('LAMPIRAN III DONE'!C31=0,"",'LAMPIRAN III DONE'!C31)</f>
        <v>Muhammad Ikhsan Sani, Simon Siregar, Aris Pujud Kurniawan, Muhammad Abid Irwan</v>
      </c>
      <c r="C14" s="1062"/>
      <c r="D14" s="1063">
        <f>'LAMPIRAN III DONE'!N31</f>
        <v>5.32</v>
      </c>
      <c r="E14" s="1064" t="str">
        <f>'LAMPIRAN III DONE'!E31</f>
        <v>Jurnal International Bereputasi</v>
      </c>
      <c r="F14" s="1066"/>
      <c r="G14" s="1060">
        <f>F14/100*D14</f>
        <v>0</v>
      </c>
      <c r="H14" s="1066"/>
      <c r="I14" s="1060">
        <f>H14/100*D14</f>
        <v>0</v>
      </c>
      <c r="J14" s="1066">
        <f t="shared" ref="J14" si="0">(F14+H14)/2</f>
        <v>0</v>
      </c>
      <c r="K14" s="1060">
        <f>(J14/100)*D14</f>
        <v>0</v>
      </c>
    </row>
    <row r="15" spans="1:22" ht="100.05" customHeight="1" x14ac:dyDescent="0.45">
      <c r="A15" s="1063"/>
      <c r="B15" s="1062" t="str">
        <f>IF('LAMPIRAN III DONE'!C32=0,"",'LAMPIRAN III DONE'!C32)</f>
        <v>FIToplankton : Wireless Controlled Remotely-Operated Underwater Vehicle (ROV) for Shallow Water Exploration
International Journal of Electrical and Computer Engineering (IJECE)
Terakreditasi
Vol 8, No 5, 2018</v>
      </c>
      <c r="C15" s="1062"/>
      <c r="D15" s="1063"/>
      <c r="E15" s="1065"/>
      <c r="F15" s="1067"/>
      <c r="G15" s="1061"/>
      <c r="H15" s="1067"/>
      <c r="I15" s="1061"/>
      <c r="J15" s="1067"/>
      <c r="K15" s="1061"/>
    </row>
    <row r="16" spans="1:22" ht="30" hidden="1" customHeight="1" x14ac:dyDescent="0.45">
      <c r="A16" s="1063">
        <v>3</v>
      </c>
      <c r="B16" s="1062" t="str">
        <f>IF('LAMPIRAN III DONE'!C33=0,"",'LAMPIRAN III DONE'!C33)</f>
        <v/>
      </c>
      <c r="C16" s="1062"/>
      <c r="D16" s="1063">
        <f>'LAMPIRAN III DONE'!N33</f>
        <v>0</v>
      </c>
      <c r="E16" s="1064">
        <f>'LAMPIRAN III DONE'!E33</f>
        <v>0</v>
      </c>
      <c r="F16" s="1066"/>
      <c r="G16" s="1060">
        <f>F16/100*D16</f>
        <v>0</v>
      </c>
      <c r="H16" s="1066"/>
      <c r="I16" s="1060">
        <f>H16/100*D16</f>
        <v>0</v>
      </c>
      <c r="J16" s="1066">
        <f t="shared" ref="J16" si="1">(F16+H16)/2</f>
        <v>0</v>
      </c>
      <c r="K16" s="1060">
        <f>(J16/100)*D16</f>
        <v>0</v>
      </c>
    </row>
    <row r="17" spans="1:11" ht="70.5" hidden="1" customHeight="1" x14ac:dyDescent="0.45">
      <c r="A17" s="1063"/>
      <c r="B17" s="1062" t="str">
        <f>IF('LAMPIRAN III DONE'!C34=0,"",'LAMPIRAN III DONE'!C34)</f>
        <v/>
      </c>
      <c r="C17" s="1062"/>
      <c r="D17" s="1063"/>
      <c r="E17" s="1065"/>
      <c r="F17" s="1067"/>
      <c r="G17" s="1061"/>
      <c r="H17" s="1067"/>
      <c r="I17" s="1061"/>
      <c r="J17" s="1067"/>
      <c r="K17" s="1061"/>
    </row>
    <row r="18" spans="1:11" ht="22.5" hidden="1" customHeight="1" x14ac:dyDescent="0.45">
      <c r="A18" s="1063">
        <v>4</v>
      </c>
      <c r="B18" s="1062" t="str">
        <f>IF('LAMPIRAN III DONE'!C35=0,"",'LAMPIRAN III DONE'!C35)</f>
        <v/>
      </c>
      <c r="C18" s="1062"/>
      <c r="D18" s="1063">
        <f>'LAMPIRAN III DONE'!N35</f>
        <v>0</v>
      </c>
      <c r="E18" s="1064">
        <f>'LAMPIRAN III DONE'!E35</f>
        <v>0</v>
      </c>
      <c r="F18" s="1066"/>
      <c r="G18" s="1060">
        <f>F18/100*D18</f>
        <v>0</v>
      </c>
      <c r="H18" s="1066"/>
      <c r="I18" s="1060">
        <f>H18/100*D18</f>
        <v>0</v>
      </c>
      <c r="J18" s="1066">
        <f t="shared" ref="J18" si="2">(F18+H18)/2</f>
        <v>0</v>
      </c>
      <c r="K18" s="1060">
        <f>(J18/100)*D18</f>
        <v>0</v>
      </c>
    </row>
    <row r="19" spans="1:11" ht="57.75" hidden="1" customHeight="1" x14ac:dyDescent="0.45">
      <c r="A19" s="1063"/>
      <c r="B19" s="1062" t="str">
        <f>IF('LAMPIRAN III DONE'!C36=0,"",'LAMPIRAN III DONE'!C36)</f>
        <v/>
      </c>
      <c r="C19" s="1062"/>
      <c r="D19" s="1063"/>
      <c r="E19" s="1065"/>
      <c r="F19" s="1067"/>
      <c r="G19" s="1061"/>
      <c r="H19" s="1067"/>
      <c r="I19" s="1061"/>
      <c r="J19" s="1067"/>
      <c r="K19" s="1061"/>
    </row>
    <row r="20" spans="1:11" ht="23.25" hidden="1" customHeight="1" x14ac:dyDescent="0.45">
      <c r="A20" s="1063">
        <v>5</v>
      </c>
      <c r="B20" s="1062" t="str">
        <f>IF('LAMPIRAN III DONE'!C37=0,"",'LAMPIRAN III DONE'!C37)</f>
        <v/>
      </c>
      <c r="C20" s="1062"/>
      <c r="D20" s="1063">
        <f>'LAMPIRAN III DONE'!N37</f>
        <v>0</v>
      </c>
      <c r="E20" s="1064">
        <f>'LAMPIRAN III DONE'!E37</f>
        <v>0</v>
      </c>
      <c r="F20" s="1066"/>
      <c r="G20" s="1060">
        <f>F20/100*D20</f>
        <v>0</v>
      </c>
      <c r="H20" s="1066"/>
      <c r="I20" s="1060">
        <f>H20/100*D20</f>
        <v>0</v>
      </c>
      <c r="J20" s="1066">
        <f t="shared" ref="J20" si="3">(F20+H20)/2</f>
        <v>0</v>
      </c>
      <c r="K20" s="1060">
        <f>(J20/100)*D20</f>
        <v>0</v>
      </c>
    </row>
    <row r="21" spans="1:11" ht="67.5" hidden="1" customHeight="1" x14ac:dyDescent="0.45">
      <c r="A21" s="1063"/>
      <c r="B21" s="1062" t="str">
        <f>IF('LAMPIRAN III DONE'!C38=0,"",'LAMPIRAN III DONE'!C38)</f>
        <v/>
      </c>
      <c r="C21" s="1062"/>
      <c r="D21" s="1063"/>
      <c r="E21" s="1065"/>
      <c r="F21" s="1067"/>
      <c r="G21" s="1061"/>
      <c r="H21" s="1067"/>
      <c r="I21" s="1061"/>
      <c r="J21" s="1067"/>
      <c r="K21" s="1061"/>
    </row>
    <row r="22" spans="1:11" ht="27.75" hidden="1" customHeight="1" x14ac:dyDescent="0.45">
      <c r="A22" s="1063">
        <v>6</v>
      </c>
      <c r="B22" s="1062" t="str">
        <f>IF('LAMPIRAN III DONE'!C39=0,"",'LAMPIRAN III DONE'!C39)</f>
        <v/>
      </c>
      <c r="C22" s="1062"/>
      <c r="D22" s="1063">
        <f>'LAMPIRAN III DONE'!N39</f>
        <v>0</v>
      </c>
      <c r="E22" s="1064">
        <f>'LAMPIRAN III DONE'!E39</f>
        <v>0</v>
      </c>
      <c r="F22" s="1066"/>
      <c r="G22" s="1060">
        <f>F22/100*D22</f>
        <v>0</v>
      </c>
      <c r="H22" s="1066"/>
      <c r="I22" s="1060">
        <f>H22/100*D22</f>
        <v>0</v>
      </c>
      <c r="J22" s="1066">
        <f t="shared" ref="J22" si="4">(F22+H22)/2</f>
        <v>0</v>
      </c>
      <c r="K22" s="1060">
        <f>(J22/100)*D22</f>
        <v>0</v>
      </c>
    </row>
    <row r="23" spans="1:11" ht="74.25" hidden="1" customHeight="1" x14ac:dyDescent="0.45">
      <c r="A23" s="1063"/>
      <c r="B23" s="1062" t="str">
        <f>IF('LAMPIRAN III DONE'!C40=0,"",'LAMPIRAN III DONE'!C40)</f>
        <v/>
      </c>
      <c r="C23" s="1062"/>
      <c r="D23" s="1063"/>
      <c r="E23" s="1065"/>
      <c r="F23" s="1067"/>
      <c r="G23" s="1061"/>
      <c r="H23" s="1067"/>
      <c r="I23" s="1061"/>
      <c r="J23" s="1067"/>
      <c r="K23" s="1061"/>
    </row>
    <row r="24" spans="1:11" ht="15" hidden="1" customHeight="1" x14ac:dyDescent="0.45">
      <c r="A24" s="1063">
        <v>7</v>
      </c>
      <c r="B24" s="1062" t="str">
        <f>IF('LAMPIRAN III DONE'!C41=0,"",'LAMPIRAN III DONE'!C41)</f>
        <v/>
      </c>
      <c r="C24" s="1062"/>
      <c r="D24" s="1063">
        <f>'LAMPIRAN III DONE'!N41</f>
        <v>0</v>
      </c>
      <c r="E24" s="1064">
        <f>'LAMPIRAN III DONE'!E41</f>
        <v>0</v>
      </c>
      <c r="F24" s="1066"/>
      <c r="G24" s="1060">
        <f>F24/100*D24</f>
        <v>0</v>
      </c>
      <c r="H24" s="1066"/>
      <c r="I24" s="1060">
        <f>H24/100*D24</f>
        <v>0</v>
      </c>
      <c r="J24" s="1066">
        <f t="shared" ref="J24" si="5">(F24+H24)/2</f>
        <v>0</v>
      </c>
      <c r="K24" s="1060">
        <f>(J24/100)*D24</f>
        <v>0</v>
      </c>
    </row>
    <row r="25" spans="1:11" ht="71.25" hidden="1" customHeight="1" x14ac:dyDescent="0.45">
      <c r="A25" s="1063"/>
      <c r="B25" s="1062" t="str">
        <f>IF('LAMPIRAN III DONE'!C42=0,"",'LAMPIRAN III DONE'!C42)</f>
        <v/>
      </c>
      <c r="C25" s="1062"/>
      <c r="D25" s="1063"/>
      <c r="E25" s="1065"/>
      <c r="F25" s="1067"/>
      <c r="G25" s="1061"/>
      <c r="H25" s="1067"/>
      <c r="I25" s="1061"/>
      <c r="J25" s="1067"/>
      <c r="K25" s="1061"/>
    </row>
    <row r="26" spans="1:11" ht="15" hidden="1" customHeight="1" x14ac:dyDescent="0.45">
      <c r="A26" s="1063">
        <v>8</v>
      </c>
      <c r="B26" s="1062" t="str">
        <f>IF('LAMPIRAN III DONE'!C43=0,"",'LAMPIRAN III DONE'!C43)</f>
        <v/>
      </c>
      <c r="C26" s="1062"/>
      <c r="D26" s="1063">
        <f>'LAMPIRAN III DONE'!N43</f>
        <v>0</v>
      </c>
      <c r="E26" s="1064">
        <f>'LAMPIRAN III DONE'!E43</f>
        <v>0</v>
      </c>
      <c r="F26" s="1066"/>
      <c r="G26" s="1060">
        <f>F26/100*D26</f>
        <v>0</v>
      </c>
      <c r="H26" s="1066"/>
      <c r="I26" s="1060">
        <f>H26/100*D26</f>
        <v>0</v>
      </c>
      <c r="J26" s="1066">
        <f t="shared" ref="J26" si="6">(F26+H26)/2</f>
        <v>0</v>
      </c>
      <c r="K26" s="1060">
        <f>(J26/100)*D26</f>
        <v>0</v>
      </c>
    </row>
    <row r="27" spans="1:11" ht="55.5" hidden="1" customHeight="1" x14ac:dyDescent="0.45">
      <c r="A27" s="1063"/>
      <c r="B27" s="1062" t="str">
        <f>IF('LAMPIRAN III DONE'!C44=0,"",'LAMPIRAN III DONE'!C44)</f>
        <v/>
      </c>
      <c r="C27" s="1062"/>
      <c r="D27" s="1063"/>
      <c r="E27" s="1065"/>
      <c r="F27" s="1067"/>
      <c r="G27" s="1061"/>
      <c r="H27" s="1067"/>
      <c r="I27" s="1061"/>
      <c r="J27" s="1067"/>
      <c r="K27" s="1061"/>
    </row>
    <row r="28" spans="1:11" ht="15" hidden="1" customHeight="1" x14ac:dyDescent="0.45">
      <c r="A28" s="1063">
        <v>9</v>
      </c>
      <c r="B28" s="1062" t="str">
        <f>IF('LAMPIRAN III DONE'!C45=0,"",'LAMPIRAN III DONE'!C45)</f>
        <v/>
      </c>
      <c r="C28" s="1062"/>
      <c r="D28" s="1063">
        <f>'LAMPIRAN III DONE'!N45</f>
        <v>0</v>
      </c>
      <c r="E28" s="1064">
        <f>'LAMPIRAN III DONE'!E45</f>
        <v>0</v>
      </c>
      <c r="F28" s="1066"/>
      <c r="G28" s="1060">
        <f>F28/100*D28</f>
        <v>0</v>
      </c>
      <c r="H28" s="1066"/>
      <c r="I28" s="1060">
        <f>H28/100*D28</f>
        <v>0</v>
      </c>
      <c r="J28" s="1066">
        <f t="shared" ref="J28" si="7">(F28+H28)/2</f>
        <v>0</v>
      </c>
      <c r="K28" s="1060">
        <f>(J28/100)*D28</f>
        <v>0</v>
      </c>
    </row>
    <row r="29" spans="1:11" ht="66.75" hidden="1" customHeight="1" x14ac:dyDescent="0.45">
      <c r="A29" s="1063"/>
      <c r="B29" s="1062" t="str">
        <f>IF('LAMPIRAN III DONE'!C46=0,"",'LAMPIRAN III DONE'!C46)</f>
        <v/>
      </c>
      <c r="C29" s="1062"/>
      <c r="D29" s="1063"/>
      <c r="E29" s="1065"/>
      <c r="F29" s="1067"/>
      <c r="G29" s="1061"/>
      <c r="H29" s="1067"/>
      <c r="I29" s="1061"/>
      <c r="J29" s="1067"/>
      <c r="K29" s="1061"/>
    </row>
    <row r="30" spans="1:11" ht="15" hidden="1" customHeight="1" x14ac:dyDescent="0.45">
      <c r="A30" s="1063">
        <v>10</v>
      </c>
      <c r="B30" s="1062" t="str">
        <f>IF('LAMPIRAN III DONE'!C47=0,"",'LAMPIRAN III DONE'!C47)</f>
        <v/>
      </c>
      <c r="C30" s="1062"/>
      <c r="D30" s="1063">
        <f>'LAMPIRAN III DONE'!N47</f>
        <v>0</v>
      </c>
      <c r="E30" s="1064">
        <f>'LAMPIRAN III DONE'!E47</f>
        <v>0</v>
      </c>
      <c r="F30" s="1066"/>
      <c r="G30" s="1060">
        <f>F30/100*D30</f>
        <v>0</v>
      </c>
      <c r="H30" s="1066"/>
      <c r="I30" s="1060">
        <f>H30/100*D30</f>
        <v>0</v>
      </c>
      <c r="J30" s="1066">
        <f t="shared" ref="J30" si="8">(F30+H30)/2</f>
        <v>0</v>
      </c>
      <c r="K30" s="1060">
        <f>(J30/100)*D30</f>
        <v>0</v>
      </c>
    </row>
    <row r="31" spans="1:11" ht="84.75" hidden="1" customHeight="1" x14ac:dyDescent="0.45">
      <c r="A31" s="1079"/>
      <c r="B31" s="1062" t="str">
        <f>IF('LAMPIRAN III DONE'!C48=0,"",'LAMPIRAN III DONE'!C48)</f>
        <v/>
      </c>
      <c r="C31" s="1062"/>
      <c r="D31" s="1063"/>
      <c r="E31" s="1078"/>
      <c r="F31" s="1067"/>
      <c r="G31" s="1076"/>
      <c r="H31" s="1067"/>
      <c r="I31" s="1076"/>
      <c r="J31" s="1077"/>
      <c r="K31" s="1076"/>
    </row>
    <row r="32" spans="1:11" ht="21.75" customHeight="1" x14ac:dyDescent="0.45">
      <c r="A32" s="1068" t="s">
        <v>803</v>
      </c>
      <c r="B32" s="1069"/>
      <c r="C32" s="1069"/>
      <c r="D32" s="790"/>
      <c r="E32" s="791"/>
      <c r="F32" s="792"/>
      <c r="G32" s="793"/>
      <c r="H32" s="792"/>
      <c r="I32" s="793"/>
      <c r="J32" s="792"/>
      <c r="K32" s="794"/>
    </row>
    <row r="33" spans="1:12" ht="24" customHeight="1" x14ac:dyDescent="0.45">
      <c r="A33" s="1075">
        <v>3</v>
      </c>
      <c r="B33" s="1062" t="str">
        <f>IF('LAMPIRAN III DONE'!C50=0,"",'LAMPIRAN III DONE'!C50)</f>
        <v>Rini Handayani, Simon Siregar</v>
      </c>
      <c r="C33" s="1062"/>
      <c r="D33" s="1075">
        <f>'LAMPIRAN III DONE'!N50</f>
        <v>10</v>
      </c>
      <c r="E33" s="1078" t="str">
        <f>'LAMPIRAN III DONE'!E50</f>
        <v>Jurnal Nasional Terakreditasi Sinta S3 dan Terindex DOAJ</v>
      </c>
      <c r="F33" s="1066"/>
      <c r="G33" s="1076">
        <f>F33/100*D33</f>
        <v>0</v>
      </c>
      <c r="H33" s="1066"/>
      <c r="I33" s="1076">
        <f>H33/100*D33</f>
        <v>0</v>
      </c>
      <c r="J33" s="1077">
        <f t="shared" ref="J33" si="9">(F33+H33)/2</f>
        <v>0</v>
      </c>
      <c r="K33" s="1076">
        <f>(J33/100)*D33</f>
        <v>0</v>
      </c>
    </row>
    <row r="34" spans="1:12" ht="96" customHeight="1" x14ac:dyDescent="0.45">
      <c r="A34" s="1063"/>
      <c r="B34" s="1062" t="str">
        <f>IF('LAMPIRAN III DONE'!C51=0,"",'LAMPIRAN III DONE'!C51)</f>
        <v>Implementasi Komunikasi Nirkabel 433Mhz Menggunakan APC220 Transceiver Pada Robot Musik Angklung  
Jurnal Nasional Teknologi dan Sistem Informasi TEKNOSI
Terakreditasi S3 Sinta
Vol 3, No 1 (2017)</v>
      </c>
      <c r="C34" s="1062"/>
      <c r="D34" s="1063"/>
      <c r="E34" s="1065"/>
      <c r="F34" s="1067"/>
      <c r="G34" s="1061"/>
      <c r="H34" s="1067"/>
      <c r="I34" s="1061"/>
      <c r="J34" s="1067"/>
      <c r="K34" s="1061"/>
    </row>
    <row r="35" spans="1:12" ht="35" customHeight="1" x14ac:dyDescent="0.45">
      <c r="A35" s="1063">
        <v>4</v>
      </c>
      <c r="B35" s="1062" t="str">
        <f>IF('LAMPIRAN III DONE'!C52=0,"",'LAMPIRAN III DONE'!C52)</f>
        <v>Marlindia Ike Sari, Rini Handayani, Simon Siregar, Bagus Isnu</v>
      </c>
      <c r="C35" s="1062"/>
      <c r="D35" s="1075">
        <f>'LAMPIRAN III DONE'!N52</f>
        <v>3.3250000000000002</v>
      </c>
      <c r="E35" s="1064" t="str">
        <f>'LAMPIRAN III DONE'!E52</f>
        <v>Jurnal Nasional Terakreditasi Sinta S4 dan Terindex DOAJ</v>
      </c>
      <c r="F35" s="1066"/>
      <c r="G35" s="1060">
        <f>F35/100*D35</f>
        <v>0</v>
      </c>
      <c r="H35" s="1066"/>
      <c r="I35" s="1060">
        <f>H35/100*D35</f>
        <v>0</v>
      </c>
      <c r="J35" s="1066">
        <f t="shared" ref="J35" si="10">(F35+H35)/2</f>
        <v>0</v>
      </c>
      <c r="K35" s="1060">
        <f>(J35/100)*D35</f>
        <v>0</v>
      </c>
    </row>
    <row r="36" spans="1:12" ht="70.5" customHeight="1" x14ac:dyDescent="0.45">
      <c r="A36" s="1063"/>
      <c r="B36" s="1062" t="str">
        <f>IF('LAMPIRAN III DONE'!C53=0,"",'LAMPIRAN III DONE'!C53)</f>
        <v>Pemilah Benda Berdasarkan Warna
Menggunakan Sensor Warna TCS3200  
Jurnal Telekomunikasi, Elektronik, Komputasi dan Kontrol Terakreditasi S4 Sinta
Vol 4, No 2 (2018)</v>
      </c>
      <c r="C36" s="1062"/>
      <c r="D36" s="1063"/>
      <c r="E36" s="1065"/>
      <c r="F36" s="1067"/>
      <c r="G36" s="1061"/>
      <c r="H36" s="1067"/>
      <c r="I36" s="1061"/>
      <c r="J36" s="1067"/>
      <c r="K36" s="1061"/>
    </row>
    <row r="37" spans="1:12" ht="15" hidden="1" customHeight="1" x14ac:dyDescent="0.45">
      <c r="A37" s="1063">
        <v>13</v>
      </c>
      <c r="B37" s="1062" t="str">
        <f>IF('LAMPIRAN III DONE'!C54=0,"",'LAMPIRAN III DONE'!C54)</f>
        <v/>
      </c>
      <c r="C37" s="1062"/>
      <c r="D37" s="1075">
        <f>'LAMPIRAN III DONE'!N54</f>
        <v>0</v>
      </c>
      <c r="E37" s="1064">
        <f>'LAMPIRAN III DONE'!E54</f>
        <v>0</v>
      </c>
      <c r="F37" s="1066"/>
      <c r="G37" s="1060">
        <f>F37/100*D37</f>
        <v>0</v>
      </c>
      <c r="H37" s="1066"/>
      <c r="I37" s="1060">
        <f>H37/100*D37</f>
        <v>0</v>
      </c>
      <c r="J37" s="1066">
        <f t="shared" ref="J37" si="11">(F37+H37)/2</f>
        <v>0</v>
      </c>
      <c r="K37" s="1060">
        <f>(J37/100)*D37</f>
        <v>0</v>
      </c>
      <c r="L37" t="s">
        <v>974</v>
      </c>
    </row>
    <row r="38" spans="1:12" ht="51" hidden="1" customHeight="1" x14ac:dyDescent="0.45">
      <c r="A38" s="1063"/>
      <c r="B38" s="1062" t="str">
        <f>IF('LAMPIRAN III DONE'!C55=0,"",'LAMPIRAN III DONE'!C55)</f>
        <v/>
      </c>
      <c r="C38" s="1062"/>
      <c r="D38" s="1063"/>
      <c r="E38" s="1065"/>
      <c r="F38" s="1067"/>
      <c r="G38" s="1061"/>
      <c r="H38" s="1067"/>
      <c r="I38" s="1061"/>
      <c r="J38" s="1067"/>
      <c r="K38" s="1061"/>
    </row>
    <row r="39" spans="1:12" ht="15" hidden="1" customHeight="1" x14ac:dyDescent="0.45">
      <c r="A39" s="1063">
        <v>14</v>
      </c>
      <c r="B39" s="1062" t="str">
        <f>IF('LAMPIRAN III DONE'!C56=0,"",'LAMPIRAN III DONE'!C56)</f>
        <v/>
      </c>
      <c r="C39" s="1062"/>
      <c r="D39" s="1075">
        <f>'LAMPIRAN III DONE'!N56</f>
        <v>0</v>
      </c>
      <c r="E39" s="1064">
        <f>'LAMPIRAN III DONE'!E56</f>
        <v>0</v>
      </c>
      <c r="F39" s="1066"/>
      <c r="G39" s="1060">
        <f>F39/100*D39</f>
        <v>0</v>
      </c>
      <c r="H39" s="1066"/>
      <c r="I39" s="1060">
        <f>H39/100*D39</f>
        <v>0</v>
      </c>
      <c r="J39" s="1066">
        <f t="shared" ref="J39" si="12">(F39+H39)/2</f>
        <v>0</v>
      </c>
      <c r="K39" s="1060">
        <f>(J39/100)*D39</f>
        <v>0</v>
      </c>
    </row>
    <row r="40" spans="1:12" ht="60" hidden="1" customHeight="1" x14ac:dyDescent="0.45">
      <c r="A40" s="1063"/>
      <c r="B40" s="1062" t="str">
        <f>IF('LAMPIRAN III DONE'!C57=0,"",'LAMPIRAN III DONE'!C57)</f>
        <v/>
      </c>
      <c r="C40" s="1062"/>
      <c r="D40" s="1063"/>
      <c r="E40" s="1065"/>
      <c r="F40" s="1067"/>
      <c r="G40" s="1061"/>
      <c r="H40" s="1067"/>
      <c r="I40" s="1061"/>
      <c r="J40" s="1067"/>
      <c r="K40" s="1061"/>
    </row>
    <row r="41" spans="1:12" ht="15" hidden="1" customHeight="1" x14ac:dyDescent="0.45">
      <c r="A41" s="1063">
        <v>15</v>
      </c>
      <c r="B41" s="1062" t="str">
        <f>IF('LAMPIRAN III DONE'!C58=0,"",'LAMPIRAN III DONE'!C58)</f>
        <v/>
      </c>
      <c r="C41" s="1062"/>
      <c r="D41" s="1075">
        <f>'LAMPIRAN III DONE'!N58</f>
        <v>0</v>
      </c>
      <c r="E41" s="1064">
        <f>'LAMPIRAN III DONE'!E58</f>
        <v>0</v>
      </c>
      <c r="F41" s="1066"/>
      <c r="G41" s="1060">
        <f>F41/100*D41</f>
        <v>0</v>
      </c>
      <c r="H41" s="1066"/>
      <c r="I41" s="1060">
        <f>H41/100*D41</f>
        <v>0</v>
      </c>
      <c r="J41" s="1066">
        <f t="shared" ref="J41" si="13">(F41+H41)/2</f>
        <v>0</v>
      </c>
      <c r="K41" s="1060">
        <f>(J41/100)*D41</f>
        <v>0</v>
      </c>
    </row>
    <row r="42" spans="1:12" ht="75.75" hidden="1" customHeight="1" x14ac:dyDescent="0.45">
      <c r="A42" s="1063"/>
      <c r="B42" s="1062" t="str">
        <f>IF('LAMPIRAN III DONE'!C59=0,"",'LAMPIRAN III DONE'!C59)</f>
        <v/>
      </c>
      <c r="C42" s="1062"/>
      <c r="D42" s="1063"/>
      <c r="E42" s="1065"/>
      <c r="F42" s="1067"/>
      <c r="G42" s="1061"/>
      <c r="H42" s="1067"/>
      <c r="I42" s="1061"/>
      <c r="J42" s="1067"/>
      <c r="K42" s="1061"/>
    </row>
    <row r="43" spans="1:12" ht="24.75" hidden="1" customHeight="1" x14ac:dyDescent="0.45">
      <c r="A43" s="1063">
        <v>16</v>
      </c>
      <c r="B43" s="1062" t="str">
        <f>IF('LAMPIRAN III DONE'!C60=0,"",'LAMPIRAN III DONE'!C60)</f>
        <v/>
      </c>
      <c r="C43" s="1062"/>
      <c r="D43" s="1075">
        <f>'LAMPIRAN III DONE'!N60</f>
        <v>0</v>
      </c>
      <c r="E43" s="1064">
        <f>'LAMPIRAN III DONE'!E60</f>
        <v>0</v>
      </c>
      <c r="F43" s="1066"/>
      <c r="G43" s="1060">
        <f>F43/100*D43</f>
        <v>0</v>
      </c>
      <c r="H43" s="1066"/>
      <c r="I43" s="1060">
        <f>H43/100*D43</f>
        <v>0</v>
      </c>
      <c r="J43" s="1066">
        <f t="shared" ref="J43" si="14">(F43+H43)/2</f>
        <v>0</v>
      </c>
      <c r="K43" s="1060">
        <f>(J43/100)*D43</f>
        <v>0</v>
      </c>
    </row>
    <row r="44" spans="1:12" ht="57" hidden="1" customHeight="1" x14ac:dyDescent="0.45">
      <c r="A44" s="1063"/>
      <c r="B44" s="1062" t="str">
        <f>IF('LAMPIRAN III DONE'!C61=0,"",'LAMPIRAN III DONE'!C61)</f>
        <v/>
      </c>
      <c r="C44" s="1062"/>
      <c r="D44" s="1063"/>
      <c r="E44" s="1065"/>
      <c r="F44" s="1067"/>
      <c r="G44" s="1061"/>
      <c r="H44" s="1067"/>
      <c r="I44" s="1061"/>
      <c r="J44" s="1067"/>
      <c r="K44" s="1061"/>
    </row>
    <row r="45" spans="1:12" ht="29.25" hidden="1" customHeight="1" x14ac:dyDescent="0.45">
      <c r="A45" s="1063">
        <v>17</v>
      </c>
      <c r="B45" s="1062" t="str">
        <f>IF('LAMPIRAN III DONE'!C62=0,"",'LAMPIRAN III DONE'!C62)</f>
        <v/>
      </c>
      <c r="C45" s="1062"/>
      <c r="D45" s="1075">
        <f>'LAMPIRAN III DONE'!N62</f>
        <v>0</v>
      </c>
      <c r="E45" s="1064">
        <f>'LAMPIRAN III DONE'!E62</f>
        <v>0</v>
      </c>
      <c r="F45" s="1066"/>
      <c r="G45" s="1060">
        <f>F45/100*D45</f>
        <v>0</v>
      </c>
      <c r="H45" s="1066"/>
      <c r="I45" s="1060">
        <f>H45/100*D45</f>
        <v>0</v>
      </c>
      <c r="J45" s="1066">
        <f t="shared" ref="J45" si="15">(F45+H45)/2</f>
        <v>0</v>
      </c>
      <c r="K45" s="1060">
        <f>(J45/100)*D45</f>
        <v>0</v>
      </c>
    </row>
    <row r="46" spans="1:12" ht="57.75" hidden="1" customHeight="1" x14ac:dyDescent="0.45">
      <c r="A46" s="1063"/>
      <c r="B46" s="1062" t="str">
        <f>IF('LAMPIRAN III DONE'!C63=0,"",'LAMPIRAN III DONE'!C63)</f>
        <v/>
      </c>
      <c r="C46" s="1062"/>
      <c r="D46" s="1063"/>
      <c r="E46" s="1065"/>
      <c r="F46" s="1067"/>
      <c r="G46" s="1061"/>
      <c r="H46" s="1067"/>
      <c r="I46" s="1061"/>
      <c r="J46" s="1067"/>
      <c r="K46" s="1061"/>
    </row>
    <row r="47" spans="1:12" ht="15" hidden="1" customHeight="1" x14ac:dyDescent="0.45">
      <c r="A47" s="1063">
        <v>18</v>
      </c>
      <c r="B47" s="1062" t="str">
        <f>IF('LAMPIRAN III DONE'!C64=0,"",'LAMPIRAN III DONE'!C64)</f>
        <v/>
      </c>
      <c r="C47" s="1062"/>
      <c r="D47" s="1075">
        <f>'LAMPIRAN III DONE'!N64</f>
        <v>0</v>
      </c>
      <c r="E47" s="1064">
        <f>'LAMPIRAN III DONE'!E64</f>
        <v>0</v>
      </c>
      <c r="F47" s="1066"/>
      <c r="G47" s="1060">
        <f>F47/100*D47</f>
        <v>0</v>
      </c>
      <c r="H47" s="1066"/>
      <c r="I47" s="1060">
        <f>H47/100*D47</f>
        <v>0</v>
      </c>
      <c r="J47" s="1066">
        <f t="shared" ref="J47" si="16">(F47+H47)/2</f>
        <v>0</v>
      </c>
      <c r="K47" s="1060">
        <f>(J47/100)*D47</f>
        <v>0</v>
      </c>
    </row>
    <row r="48" spans="1:12" ht="104.25" hidden="1" customHeight="1" x14ac:dyDescent="0.45">
      <c r="A48" s="1063"/>
      <c r="B48" s="1062" t="str">
        <f>IF('LAMPIRAN III DONE'!C65=0,"",'LAMPIRAN III DONE'!C65)</f>
        <v/>
      </c>
      <c r="C48" s="1062"/>
      <c r="D48" s="1063"/>
      <c r="E48" s="1065"/>
      <c r="F48" s="1067"/>
      <c r="G48" s="1061"/>
      <c r="H48" s="1067"/>
      <c r="I48" s="1061"/>
      <c r="J48" s="1067"/>
      <c r="K48" s="1061"/>
    </row>
    <row r="49" spans="1:11" ht="15" hidden="1" customHeight="1" x14ac:dyDescent="0.45">
      <c r="A49" s="1063">
        <v>19</v>
      </c>
      <c r="B49" s="1062" t="str">
        <f>IF('LAMPIRAN III DONE'!C66=0,"",'LAMPIRAN III DONE'!C66)</f>
        <v/>
      </c>
      <c r="C49" s="1062"/>
      <c r="D49" s="1075">
        <f>'LAMPIRAN III DONE'!N66</f>
        <v>0</v>
      </c>
      <c r="E49" s="1064">
        <f>'LAMPIRAN III DONE'!E66</f>
        <v>0</v>
      </c>
      <c r="F49" s="1066"/>
      <c r="G49" s="1060">
        <f>F49/100*D49</f>
        <v>0</v>
      </c>
      <c r="H49" s="1066"/>
      <c r="I49" s="1060">
        <f>H49/100*D49</f>
        <v>0</v>
      </c>
      <c r="J49" s="1066">
        <f t="shared" ref="J49" si="17">(F49+H49)/2</f>
        <v>0</v>
      </c>
      <c r="K49" s="1060">
        <f>(J49/100)*D49</f>
        <v>0</v>
      </c>
    </row>
    <row r="50" spans="1:11" ht="87" hidden="1" customHeight="1" x14ac:dyDescent="0.45">
      <c r="A50" s="1063"/>
      <c r="B50" s="1062" t="str">
        <f>IF('LAMPIRAN III DONE'!C67=0,"",'LAMPIRAN III DONE'!C67)</f>
        <v/>
      </c>
      <c r="C50" s="1062"/>
      <c r="D50" s="1063"/>
      <c r="E50" s="1065"/>
      <c r="F50" s="1067"/>
      <c r="G50" s="1061"/>
      <c r="H50" s="1067"/>
      <c r="I50" s="1061"/>
      <c r="J50" s="1067"/>
      <c r="K50" s="1061"/>
    </row>
    <row r="51" spans="1:11" ht="15" hidden="1" customHeight="1" x14ac:dyDescent="0.45">
      <c r="A51" s="1063">
        <v>20</v>
      </c>
      <c r="B51" s="1062" t="str">
        <f>IF('LAMPIRAN III DONE'!C68=0,"",'LAMPIRAN III DONE'!C68)</f>
        <v/>
      </c>
      <c r="C51" s="1062"/>
      <c r="D51" s="1075">
        <f>'LAMPIRAN III DONE'!N68</f>
        <v>0</v>
      </c>
      <c r="E51" s="1064">
        <f>'LAMPIRAN III DONE'!E68</f>
        <v>0</v>
      </c>
      <c r="F51" s="1066"/>
      <c r="G51" s="1060">
        <f>F51/100*D51</f>
        <v>0</v>
      </c>
      <c r="H51" s="1066"/>
      <c r="I51" s="1060">
        <f>H51/100*D51</f>
        <v>0</v>
      </c>
      <c r="J51" s="1066">
        <f t="shared" ref="J51" si="18">(F51+H51)/2</f>
        <v>0</v>
      </c>
      <c r="K51" s="1060">
        <f>(J51/100)*D51</f>
        <v>0</v>
      </c>
    </row>
    <row r="52" spans="1:11" ht="10.5" hidden="1" customHeight="1" x14ac:dyDescent="0.45">
      <c r="A52" s="1063"/>
      <c r="B52" s="1062" t="str">
        <f>IF('LAMPIRAN III DONE'!C69=0,"",'LAMPIRAN III DONE'!C69)</f>
        <v/>
      </c>
      <c r="C52" s="1062"/>
      <c r="D52" s="1063"/>
      <c r="E52" s="1065"/>
      <c r="F52" s="1067"/>
      <c r="G52" s="1061"/>
      <c r="H52" s="1067"/>
      <c r="I52" s="1061"/>
      <c r="J52" s="1067"/>
      <c r="K52" s="1061"/>
    </row>
    <row r="53" spans="1:11" ht="21.75" customHeight="1" x14ac:dyDescent="0.45">
      <c r="A53" s="1068" t="s">
        <v>804</v>
      </c>
      <c r="B53" s="1069"/>
      <c r="C53" s="1069"/>
      <c r="D53" s="790"/>
      <c r="E53" s="791"/>
      <c r="F53" s="792"/>
      <c r="G53" s="793"/>
      <c r="H53" s="792"/>
      <c r="I53" s="793"/>
      <c r="J53" s="792"/>
      <c r="K53" s="794"/>
    </row>
    <row r="54" spans="1:11" ht="27.5" customHeight="1" x14ac:dyDescent="0.45">
      <c r="A54" s="1063">
        <v>5</v>
      </c>
      <c r="B54" s="1062" t="str">
        <f>IF('LAMPIRAN III DONE'!C71=0,"",'LAMPIRAN III DONE'!C71)</f>
        <v>Muhammad Ikhsan Sani, Simon Siregar, Aris Pujud Kurniawan, Rakhmi Jauhari, Chintya</v>
      </c>
      <c r="C54" s="1062"/>
      <c r="D54" s="1063">
        <f>'LAMPIRAN III DONE'!N71</f>
        <v>1.5</v>
      </c>
      <c r="E54" s="1064" t="str">
        <f>'LAMPIRAN III DONE'!E71</f>
        <v>Prosiding Internasional</v>
      </c>
      <c r="F54" s="1066"/>
      <c r="G54" s="1060">
        <f>F54/100*D54</f>
        <v>0</v>
      </c>
      <c r="H54" s="1066"/>
      <c r="I54" s="1060">
        <f>H54/100*D54</f>
        <v>0</v>
      </c>
      <c r="J54" s="1066">
        <f t="shared" ref="J54" si="19">(F54+H54)/2</f>
        <v>0</v>
      </c>
      <c r="K54" s="1060">
        <f>(J54/100)*D54</f>
        <v>0</v>
      </c>
    </row>
    <row r="55" spans="1:11" ht="51" customHeight="1" x14ac:dyDescent="0.45">
      <c r="A55" s="1063"/>
      <c r="B55" s="1062" t="str">
        <f>IF('LAMPIRAN III DONE'!C72=0,"",'LAMPIRAN III DONE'!C72)</f>
        <v>Web-Based Monitoring and Control System for 
Aeroponics Growing Chamber 
Proceeding International
IEEE Xplorer</v>
      </c>
      <c r="C55" s="1062"/>
      <c r="D55" s="1063"/>
      <c r="E55" s="1065"/>
      <c r="F55" s="1067"/>
      <c r="G55" s="1061"/>
      <c r="H55" s="1067"/>
      <c r="I55" s="1061"/>
      <c r="J55" s="1067"/>
      <c r="K55" s="1061"/>
    </row>
    <row r="56" spans="1:11" ht="15" hidden="1" customHeight="1" x14ac:dyDescent="0.45">
      <c r="A56" s="1063">
        <v>22</v>
      </c>
      <c r="B56" s="1062" t="e">
        <f>IF('LAMPIRAN III DONE'!#REF!=0,"",'LAMPIRAN III DONE'!#REF!)</f>
        <v>#REF!</v>
      </c>
      <c r="C56" s="1062"/>
      <c r="D56" s="1063" t="e">
        <f>'LAMPIRAN III DONE'!#REF!</f>
        <v>#REF!</v>
      </c>
      <c r="E56" s="1064" t="e">
        <f>'LAMPIRAN III DONE'!#REF!</f>
        <v>#REF!</v>
      </c>
      <c r="F56" s="1066"/>
      <c r="G56" s="1060" t="e">
        <f>F56/100*D56</f>
        <v>#REF!</v>
      </c>
      <c r="H56" s="1066"/>
      <c r="I56" s="1060" t="e">
        <f>H56/100*D56</f>
        <v>#REF!</v>
      </c>
      <c r="J56" s="1066">
        <f t="shared" ref="J56" si="20">(F56+H56)/2</f>
        <v>0</v>
      </c>
      <c r="K56" s="1060" t="e">
        <f>(J56/100)*D56</f>
        <v>#REF!</v>
      </c>
    </row>
    <row r="57" spans="1:11" ht="98.25" hidden="1" customHeight="1" x14ac:dyDescent="0.45">
      <c r="A57" s="1063"/>
      <c r="B57" s="1062" t="e">
        <f>IF('LAMPIRAN III DONE'!#REF!=0,"",'LAMPIRAN III DONE'!#REF!)</f>
        <v>#REF!</v>
      </c>
      <c r="C57" s="1062"/>
      <c r="D57" s="1063"/>
      <c r="E57" s="1065"/>
      <c r="F57" s="1067"/>
      <c r="G57" s="1061"/>
      <c r="H57" s="1067"/>
      <c r="I57" s="1061"/>
      <c r="J57" s="1067"/>
      <c r="K57" s="1061"/>
    </row>
    <row r="58" spans="1:11" ht="31.05" customHeight="1" x14ac:dyDescent="0.45">
      <c r="A58" s="1063">
        <v>6</v>
      </c>
      <c r="B58" s="1062" t="str">
        <f>IF('LAMPIRAN III DONE'!C73=0,"",'LAMPIRAN III DONE'!C73)</f>
        <v>Muhammad Ikhsan Sani, Simon Siregar, Muhammad Zein Irsyad,Yurvan Igo Wibowo</v>
      </c>
      <c r="C58" s="1062"/>
      <c r="D58" s="1063">
        <f>'LAMPIRAN III DONE'!N73</f>
        <v>1.9950000000000001</v>
      </c>
      <c r="E58" s="1064" t="str">
        <f>'LAMPIRAN III DONE'!E73</f>
        <v>Prosiding Internasional</v>
      </c>
      <c r="F58" s="1066"/>
      <c r="G58" s="1060">
        <f>F58/100*D58</f>
        <v>0</v>
      </c>
      <c r="H58" s="1066"/>
      <c r="I58" s="1060">
        <f>H58/100*D58</f>
        <v>0</v>
      </c>
      <c r="J58" s="1066">
        <f t="shared" ref="J58" si="21">(F58+H58)/2</f>
        <v>0</v>
      </c>
      <c r="K58" s="1060">
        <f>(J58/100)*D58</f>
        <v>0</v>
      </c>
    </row>
    <row r="59" spans="1:11" ht="81.5" customHeight="1" x14ac:dyDescent="0.45">
      <c r="A59" s="1063"/>
      <c r="B59" s="1062" t="str">
        <f>IF('LAMPIRAN III DONE'!C74=0,"",'LAMPIRAN III DONE'!C74)</f>
        <v>Navigation System for Smartphone-based 
Autonomous Underwater Vehicle
2017 International Conference on Smart Cities, Automation &amp; Intelligent Computing Systems
Yogyakarta, Indonesia, November 08-10, 2017
IEEE Xplorer</v>
      </c>
      <c r="C59" s="1062"/>
      <c r="D59" s="1063"/>
      <c r="E59" s="1065"/>
      <c r="F59" s="1067"/>
      <c r="G59" s="1061"/>
      <c r="H59" s="1067"/>
      <c r="I59" s="1061"/>
      <c r="J59" s="1067"/>
      <c r="K59" s="1061"/>
    </row>
    <row r="60" spans="1:11" ht="32.549999999999997" customHeight="1" x14ac:dyDescent="0.45">
      <c r="A60" s="1063">
        <v>7</v>
      </c>
      <c r="B60" s="1062" t="str">
        <f>IF('LAMPIRAN III DONE'!C75=0,"",'LAMPIRAN III DONE'!C75)</f>
        <v>Simon Siregar, Muhammad Ikhsan Sani,Marlindia Ike Sari</v>
      </c>
      <c r="C60" s="1062"/>
      <c r="D60" s="1063">
        <f>'LAMPIRAN III DONE'!N75</f>
        <v>9</v>
      </c>
      <c r="E60" s="1064" t="str">
        <f>'LAMPIRAN III DONE'!E75</f>
        <v>Prosiding Internasional</v>
      </c>
      <c r="F60" s="1066"/>
      <c r="G60" s="1060">
        <f>F60/100*D60</f>
        <v>0</v>
      </c>
      <c r="H60" s="1066"/>
      <c r="I60" s="1060">
        <f>H60/100*D60</f>
        <v>0</v>
      </c>
      <c r="J60" s="1066">
        <f t="shared" ref="J60" si="22">(F60+H60)/2</f>
        <v>0</v>
      </c>
      <c r="K60" s="1060">
        <f>(J60/100)*D60</f>
        <v>0</v>
      </c>
    </row>
    <row r="61" spans="1:11" ht="68.55" customHeight="1" x14ac:dyDescent="0.45">
      <c r="A61" s="1063"/>
      <c r="B61" s="1062" t="str">
        <f>IF('LAMPIRAN III DONE'!C76=0,"",'LAMPIRAN III DONE'!C76)</f>
        <v>A Prototype of a Quad Rotor System for Forest Fire Monitoring
The 1st International Conference on Satellite Technology 2017 (ICST)
Bandung, Indonesia, November 3, 2017</v>
      </c>
      <c r="C61" s="1062"/>
      <c r="D61" s="1063"/>
      <c r="E61" s="1065"/>
      <c r="F61" s="1067"/>
      <c r="G61" s="1061"/>
      <c r="H61" s="1067"/>
      <c r="I61" s="1061"/>
      <c r="J61" s="1067"/>
      <c r="K61" s="1061"/>
    </row>
    <row r="62" spans="1:11" ht="30" customHeight="1" x14ac:dyDescent="0.45">
      <c r="A62" s="1063">
        <v>8</v>
      </c>
      <c r="B62" s="1062" t="str">
        <f>IF('LAMPIRAN III DONE'!C77=0,"",'LAMPIRAN III DONE'!C77)</f>
        <v>Muhammad Ikhsan Sani, Simon Siregar, Marlindia Ike Sari, Lisa Mardiana</v>
      </c>
      <c r="C62" s="1062"/>
      <c r="D62" s="1063">
        <f>'LAMPIRAN III DONE'!N77</f>
        <v>1.9950000000000001</v>
      </c>
      <c r="E62" s="1064" t="str">
        <f>'LAMPIRAN III DONE'!E77</f>
        <v>Prosiding Internasional</v>
      </c>
      <c r="F62" s="1066"/>
      <c r="G62" s="1060">
        <f>F62/100*D62</f>
        <v>0</v>
      </c>
      <c r="H62" s="1066"/>
      <c r="I62" s="1060">
        <f>H62/100*D62</f>
        <v>0</v>
      </c>
      <c r="J62" s="1066">
        <f t="shared" ref="J62" si="23">(F62+H62)/2</f>
        <v>0</v>
      </c>
      <c r="K62" s="1060">
        <f>(J62/100)*D62</f>
        <v>0</v>
      </c>
    </row>
    <row r="63" spans="1:11" ht="60" customHeight="1" x14ac:dyDescent="0.45">
      <c r="A63" s="1063"/>
      <c r="B63" s="1062" t="str">
        <f>IF('LAMPIRAN III DONE'!C78=0,"",'LAMPIRAN III DONE'!C78)</f>
        <v>2.4 GHz Wireless Data Acquisition System for FIToplankton ROV
International Conference on Information and Communication Technology 2018
Bandung, Indonesia, Mei 3, 2018 
IEEE Xplorer</v>
      </c>
      <c r="C63" s="1062"/>
      <c r="D63" s="1063"/>
      <c r="E63" s="1065"/>
      <c r="F63" s="1067"/>
      <c r="G63" s="1061"/>
      <c r="H63" s="1067"/>
      <c r="I63" s="1061"/>
      <c r="J63" s="1067"/>
      <c r="K63" s="1061"/>
    </row>
    <row r="64" spans="1:11" ht="25.5" hidden="1" customHeight="1" x14ac:dyDescent="0.45">
      <c r="A64" s="1063">
        <v>26</v>
      </c>
      <c r="B64" s="1062" t="str">
        <f>IF('LAMPIRAN III DONE'!C79=0,"",'LAMPIRAN III DONE'!C79)</f>
        <v/>
      </c>
      <c r="C64" s="1062"/>
      <c r="D64" s="1063">
        <f>'LAMPIRAN III DONE'!N79</f>
        <v>0</v>
      </c>
      <c r="E64" s="1064">
        <f>'LAMPIRAN III DONE'!E79</f>
        <v>0</v>
      </c>
      <c r="F64" s="1066"/>
      <c r="G64" s="1060">
        <f>F64/100*D64</f>
        <v>0</v>
      </c>
      <c r="H64" s="1066"/>
      <c r="I64" s="1060">
        <f>H64/100*D64</f>
        <v>0</v>
      </c>
      <c r="J64" s="1066">
        <f t="shared" ref="J64" si="24">(F64+H64)/2</f>
        <v>0</v>
      </c>
      <c r="K64" s="1060">
        <f>(J64/100)*D64</f>
        <v>0</v>
      </c>
    </row>
    <row r="65" spans="1:11" ht="87" hidden="1" customHeight="1" x14ac:dyDescent="0.45">
      <c r="A65" s="1063"/>
      <c r="B65" s="1062" t="str">
        <f>IF('LAMPIRAN III DONE'!C80=0,"",'LAMPIRAN III DONE'!C80)</f>
        <v>2.4 GHz Wireless Data Acquisition System for FIToplankton ROV
International Conference on Information and Communication Technology 2018
Bandung, Indonesia, Mei 3, 2018 
IEEE Xplorer</v>
      </c>
      <c r="C65" s="1062"/>
      <c r="D65" s="1063"/>
      <c r="E65" s="1065"/>
      <c r="F65" s="1067"/>
      <c r="G65" s="1061"/>
      <c r="H65" s="1067"/>
      <c r="I65" s="1061"/>
      <c r="J65" s="1067"/>
      <c r="K65" s="1061"/>
    </row>
    <row r="66" spans="1:11" ht="15" hidden="1" customHeight="1" x14ac:dyDescent="0.45">
      <c r="A66" s="1063">
        <v>27</v>
      </c>
      <c r="B66" s="1062" t="str">
        <f>IF('LAMPIRAN III DONE'!C81=0,"",'LAMPIRAN III DONE'!C81)</f>
        <v/>
      </c>
      <c r="C66" s="1062"/>
      <c r="D66" s="1063">
        <f>'LAMPIRAN III DONE'!N81</f>
        <v>0</v>
      </c>
      <c r="E66" s="1064">
        <f>'LAMPIRAN III DONE'!E81</f>
        <v>0</v>
      </c>
      <c r="F66" s="1066"/>
      <c r="G66" s="1060">
        <f>F66/100*D66</f>
        <v>0</v>
      </c>
      <c r="H66" s="1066"/>
      <c r="I66" s="1060">
        <f>H66/100*D66</f>
        <v>0</v>
      </c>
      <c r="J66" s="1066">
        <f t="shared" ref="J66" si="25">(F66+H66)/2</f>
        <v>0</v>
      </c>
      <c r="K66" s="1060">
        <f>(J66/100)*D66</f>
        <v>0</v>
      </c>
    </row>
    <row r="67" spans="1:11" ht="72.75" hidden="1" customHeight="1" x14ac:dyDescent="0.45">
      <c r="A67" s="1063"/>
      <c r="B67" s="1062" t="str">
        <f>IF('LAMPIRAN III DONE'!C82=0,"",'LAMPIRAN III DONE'!C82)</f>
        <v/>
      </c>
      <c r="C67" s="1062"/>
      <c r="D67" s="1063"/>
      <c r="E67" s="1065"/>
      <c r="F67" s="1067"/>
      <c r="G67" s="1061"/>
      <c r="H67" s="1067"/>
      <c r="I67" s="1061"/>
      <c r="J67" s="1067"/>
      <c r="K67" s="1061"/>
    </row>
    <row r="68" spans="1:11" ht="34.5" hidden="1" customHeight="1" x14ac:dyDescent="0.45">
      <c r="A68" s="1063">
        <v>28</v>
      </c>
      <c r="B68" s="1062" t="str">
        <f>IF('LAMPIRAN III DONE'!C83=0,"",'LAMPIRAN III DONE'!C83)</f>
        <v/>
      </c>
      <c r="C68" s="1062"/>
      <c r="D68" s="1063">
        <f>'LAMPIRAN III DONE'!N83</f>
        <v>0</v>
      </c>
      <c r="E68" s="1064">
        <f>'LAMPIRAN III DONE'!E83</f>
        <v>0</v>
      </c>
      <c r="F68" s="1066"/>
      <c r="G68" s="1060">
        <f>F68/100*D68</f>
        <v>0</v>
      </c>
      <c r="H68" s="1066"/>
      <c r="I68" s="1060">
        <f>H68/100*D68</f>
        <v>0</v>
      </c>
      <c r="J68" s="1066">
        <f t="shared" ref="J68" si="26">(F68+H68)/2</f>
        <v>0</v>
      </c>
      <c r="K68" s="1060">
        <f>(J68/100)*D68</f>
        <v>0</v>
      </c>
    </row>
    <row r="69" spans="1:11" ht="72.75" hidden="1" customHeight="1" x14ac:dyDescent="0.45">
      <c r="A69" s="1063"/>
      <c r="B69" s="1062" t="str">
        <f>IF('LAMPIRAN III DONE'!C84=0,"",'LAMPIRAN III DONE'!C84)</f>
        <v/>
      </c>
      <c r="C69" s="1062"/>
      <c r="D69" s="1063"/>
      <c r="E69" s="1065"/>
      <c r="F69" s="1067"/>
      <c r="G69" s="1061"/>
      <c r="H69" s="1067"/>
      <c r="I69" s="1061"/>
      <c r="J69" s="1067"/>
      <c r="K69" s="1061"/>
    </row>
    <row r="70" spans="1:11" ht="28.5" hidden="1" customHeight="1" x14ac:dyDescent="0.45">
      <c r="A70" s="1063">
        <v>29</v>
      </c>
      <c r="B70" s="1062" t="str">
        <f>IF('LAMPIRAN III DONE'!C85=0,"",'LAMPIRAN III DONE'!C85)</f>
        <v/>
      </c>
      <c r="C70" s="1062"/>
      <c r="D70" s="1063">
        <f>'LAMPIRAN III DONE'!N85</f>
        <v>0</v>
      </c>
      <c r="E70" s="1064">
        <f>'LAMPIRAN III DONE'!E85</f>
        <v>0</v>
      </c>
      <c r="F70" s="1066"/>
      <c r="G70" s="1060">
        <f>F70/100*D70</f>
        <v>0</v>
      </c>
      <c r="H70" s="1066"/>
      <c r="I70" s="1060">
        <f>H70/100*D70</f>
        <v>0</v>
      </c>
      <c r="J70" s="1066">
        <f t="shared" ref="J70" si="27">(F70+H70)/2</f>
        <v>0</v>
      </c>
      <c r="K70" s="1060">
        <f>(J70/100)*D70</f>
        <v>0</v>
      </c>
    </row>
    <row r="71" spans="1:11" ht="66" hidden="1" customHeight="1" x14ac:dyDescent="0.45">
      <c r="A71" s="1063"/>
      <c r="B71" s="1062" t="str">
        <f>IF('LAMPIRAN III DONE'!C86=0,"",'LAMPIRAN III DONE'!C86)</f>
        <v/>
      </c>
      <c r="C71" s="1062"/>
      <c r="D71" s="1063"/>
      <c r="E71" s="1065"/>
      <c r="F71" s="1067"/>
      <c r="G71" s="1061"/>
      <c r="H71" s="1067"/>
      <c r="I71" s="1061"/>
      <c r="J71" s="1067"/>
      <c r="K71" s="1061"/>
    </row>
    <row r="72" spans="1:11" ht="28.5" hidden="1" customHeight="1" x14ac:dyDescent="0.45">
      <c r="A72" s="1063">
        <v>30</v>
      </c>
      <c r="B72" s="1062" t="str">
        <f>IF('LAMPIRAN III DONE'!C87=0,"",'LAMPIRAN III DONE'!C87)</f>
        <v/>
      </c>
      <c r="C72" s="1062"/>
      <c r="D72" s="1063">
        <f>'LAMPIRAN III DONE'!N87</f>
        <v>0</v>
      </c>
      <c r="E72" s="1064">
        <f>'LAMPIRAN III DONE'!E87</f>
        <v>0</v>
      </c>
      <c r="F72" s="1066"/>
      <c r="G72" s="1060">
        <f>F72/100*D72</f>
        <v>0</v>
      </c>
      <c r="H72" s="1066"/>
      <c r="I72" s="1060">
        <f>H72/100*D72</f>
        <v>0</v>
      </c>
      <c r="J72" s="1066">
        <f t="shared" ref="J72" si="28">(F72+H72)/2</f>
        <v>0</v>
      </c>
      <c r="K72" s="1060">
        <f>(J72/100)*D72</f>
        <v>0</v>
      </c>
    </row>
    <row r="73" spans="1:11" ht="78.75" hidden="1" customHeight="1" x14ac:dyDescent="0.45">
      <c r="A73" s="1063"/>
      <c r="B73" s="1062" t="str">
        <f>IF('LAMPIRAN III DONE'!C88=0,"",'LAMPIRAN III DONE'!C88)</f>
        <v/>
      </c>
      <c r="C73" s="1062"/>
      <c r="D73" s="1063"/>
      <c r="E73" s="1065"/>
      <c r="F73" s="1067"/>
      <c r="G73" s="1061"/>
      <c r="H73" s="1067"/>
      <c r="I73" s="1061"/>
      <c r="J73" s="1067"/>
      <c r="K73" s="1061"/>
    </row>
    <row r="74" spans="1:11" ht="21.75" customHeight="1" x14ac:dyDescent="0.45">
      <c r="A74" s="1068" t="s">
        <v>805</v>
      </c>
      <c r="B74" s="1069"/>
      <c r="C74" s="1069"/>
      <c r="D74" s="790"/>
      <c r="E74" s="791"/>
      <c r="F74" s="792"/>
      <c r="G74" s="793"/>
      <c r="H74" s="792"/>
      <c r="I74" s="793"/>
      <c r="J74" s="792"/>
      <c r="K74" s="794"/>
    </row>
    <row r="75" spans="1:11" ht="28.5" customHeight="1" x14ac:dyDescent="0.45">
      <c r="A75" s="1063">
        <v>9</v>
      </c>
      <c r="B75" s="1062" t="str">
        <f>IF('LAMPIRAN III DONE'!C90=0,"",'LAMPIRAN III DONE'!C90)</f>
        <v>Simon Siregar, Muhammad Ikhsan Sani,Muhammad Muchlis Kurnia, Dzikri Hasbialloh</v>
      </c>
      <c r="C75" s="1062"/>
      <c r="D75" s="1063">
        <f>'LAMPIRAN III DONE'!N90</f>
        <v>6</v>
      </c>
      <c r="E75" s="1064">
        <f>'LAMPIRAN III DONE'!E152</f>
        <v>0</v>
      </c>
      <c r="F75" s="1066"/>
      <c r="G75" s="1060">
        <f>F75/100*D75</f>
        <v>0</v>
      </c>
      <c r="H75" s="1066"/>
      <c r="I75" s="1060">
        <f>H75/100*D75</f>
        <v>0</v>
      </c>
      <c r="J75" s="1066">
        <f t="shared" ref="J75" si="29">(F75+H75)/2</f>
        <v>0</v>
      </c>
      <c r="K75" s="1060">
        <f>(J75/100)*D75</f>
        <v>0</v>
      </c>
    </row>
    <row r="76" spans="1:11" ht="69.75" customHeight="1" x14ac:dyDescent="0.45">
      <c r="A76" s="1063"/>
      <c r="B76" s="1062" t="str">
        <f>IF('LAMPIRAN III DONE'!C91=0,"",'LAMPIRAN III DONE'!C91)</f>
        <v>Implementasi Pergerakan Omnidirectional pada Three-Omniwheeled Robot
The 6th Indonesian Symposium on Robotic Sytems and Control (ISRSC)
Yogyakarta, Indonesia, Juli 10, 2017</v>
      </c>
      <c r="C76" s="1062"/>
      <c r="D76" s="1063"/>
      <c r="E76" s="1065"/>
      <c r="F76" s="1067"/>
      <c r="G76" s="1061"/>
      <c r="H76" s="1067"/>
      <c r="I76" s="1061"/>
      <c r="J76" s="1067"/>
      <c r="K76" s="1061"/>
    </row>
    <row r="77" spans="1:11" ht="28.5" hidden="1" customHeight="1" x14ac:dyDescent="0.45">
      <c r="A77" s="1063">
        <v>32</v>
      </c>
      <c r="B77" s="1062" t="str">
        <f>IF('LAMPIRAN III DONE'!C92=0,"",'LAMPIRAN III DONE'!C92)</f>
        <v/>
      </c>
      <c r="C77" s="1062"/>
      <c r="D77" s="1063">
        <f>'LAMPIRAN III DONE'!N92</f>
        <v>0</v>
      </c>
      <c r="E77" s="1064" t="e">
        <f>'LAMPIRAN III DONE'!#REF!</f>
        <v>#REF!</v>
      </c>
      <c r="F77" s="1066"/>
      <c r="G77" s="1060">
        <f>F77/100*D77</f>
        <v>0</v>
      </c>
      <c r="H77" s="1066"/>
      <c r="I77" s="1060">
        <f>H77/100*D77</f>
        <v>0</v>
      </c>
      <c r="J77" s="1066">
        <f t="shared" ref="J77" si="30">(F77+H77)/2</f>
        <v>0</v>
      </c>
      <c r="K77" s="1060">
        <f>(J77/100)*D77</f>
        <v>0</v>
      </c>
    </row>
    <row r="78" spans="1:11" ht="81" hidden="1" customHeight="1" x14ac:dyDescent="0.45">
      <c r="A78" s="1063"/>
      <c r="B78" s="1062" t="str">
        <f>IF('LAMPIRAN III DONE'!C93=0,"",'LAMPIRAN III DONE'!C93)</f>
        <v/>
      </c>
      <c r="C78" s="1062"/>
      <c r="D78" s="1063"/>
      <c r="E78" s="1065"/>
      <c r="F78" s="1067"/>
      <c r="G78" s="1061"/>
      <c r="H78" s="1067"/>
      <c r="I78" s="1061"/>
      <c r="J78" s="1067"/>
      <c r="K78" s="1061"/>
    </row>
    <row r="79" spans="1:11" ht="28.5" hidden="1" customHeight="1" x14ac:dyDescent="0.45">
      <c r="A79" s="1063">
        <v>33</v>
      </c>
      <c r="B79" s="1062" t="str">
        <f>IF('LAMPIRAN III DONE'!C94=0,"",'LAMPIRAN III DONE'!C94)</f>
        <v/>
      </c>
      <c r="C79" s="1062"/>
      <c r="D79" s="1063">
        <f>'LAMPIRAN III DONE'!N94</f>
        <v>0</v>
      </c>
      <c r="E79" s="1064" t="e">
        <f>'LAMPIRAN III DONE'!#REF!</f>
        <v>#REF!</v>
      </c>
      <c r="F79" s="1066"/>
      <c r="G79" s="1060">
        <f>F79/100*D79</f>
        <v>0</v>
      </c>
      <c r="H79" s="1066"/>
      <c r="I79" s="1060">
        <f>H79/100*D79</f>
        <v>0</v>
      </c>
      <c r="J79" s="1066">
        <f t="shared" ref="J79" si="31">(F79+H79)/2</f>
        <v>0</v>
      </c>
      <c r="K79" s="1060">
        <f>(J79/100)*D79</f>
        <v>0</v>
      </c>
    </row>
    <row r="80" spans="1:11" ht="81" hidden="1" customHeight="1" x14ac:dyDescent="0.45">
      <c r="A80" s="1063"/>
      <c r="B80" s="1062" t="str">
        <f>IF('LAMPIRAN III DONE'!C95=0,"",'LAMPIRAN III DONE'!C95)</f>
        <v/>
      </c>
      <c r="C80" s="1062"/>
      <c r="D80" s="1063"/>
      <c r="E80" s="1065"/>
      <c r="F80" s="1067"/>
      <c r="G80" s="1061"/>
      <c r="H80" s="1067"/>
      <c r="I80" s="1061"/>
      <c r="J80" s="1067"/>
      <c r="K80" s="1061"/>
    </row>
    <row r="81" spans="1:11" ht="28.5" hidden="1" customHeight="1" x14ac:dyDescent="0.45">
      <c r="A81" s="1063">
        <v>34</v>
      </c>
      <c r="B81" s="1062" t="str">
        <f>IF('LAMPIRAN III DONE'!C96=0,"",'LAMPIRAN III DONE'!C96)</f>
        <v/>
      </c>
      <c r="C81" s="1062"/>
      <c r="D81" s="1063">
        <f>'LAMPIRAN III DONE'!N96</f>
        <v>0</v>
      </c>
      <c r="E81" s="1064" t="e">
        <f>'LAMPIRAN III DONE'!#REF!</f>
        <v>#REF!</v>
      </c>
      <c r="F81" s="1066"/>
      <c r="G81" s="1060">
        <f>F81/100*D81</f>
        <v>0</v>
      </c>
      <c r="H81" s="1066"/>
      <c r="I81" s="1060">
        <f>H81/100*D81</f>
        <v>0</v>
      </c>
      <c r="J81" s="1066">
        <f t="shared" ref="J81" si="32">(F81+H81)/2</f>
        <v>0</v>
      </c>
      <c r="K81" s="1060">
        <f>(J81/100)*D81</f>
        <v>0</v>
      </c>
    </row>
    <row r="82" spans="1:11" ht="51.75" hidden="1" customHeight="1" x14ac:dyDescent="0.45">
      <c r="A82" s="1063"/>
      <c r="B82" s="1062" t="str">
        <f>IF('LAMPIRAN III DONE'!C97=0,"",'LAMPIRAN III DONE'!C97)</f>
        <v/>
      </c>
      <c r="C82" s="1062"/>
      <c r="D82" s="1063"/>
      <c r="E82" s="1065"/>
      <c r="F82" s="1067"/>
      <c r="G82" s="1061"/>
      <c r="H82" s="1067"/>
      <c r="I82" s="1061"/>
      <c r="J82" s="1067"/>
      <c r="K82" s="1061"/>
    </row>
    <row r="83" spans="1:11" ht="37.5" hidden="1" customHeight="1" x14ac:dyDescent="0.45">
      <c r="A83" s="1063">
        <v>35</v>
      </c>
      <c r="B83" s="1062" t="str">
        <f>IF('LAMPIRAN III DONE'!C98=0,"",'LAMPIRAN III DONE'!C98)</f>
        <v/>
      </c>
      <c r="C83" s="1062"/>
      <c r="D83" s="1063">
        <f>'LAMPIRAN III DONE'!N98</f>
        <v>0</v>
      </c>
      <c r="E83" s="1064">
        <f>'LAMPIRAN III DONE'!E154</f>
        <v>0</v>
      </c>
      <c r="F83" s="1066"/>
      <c r="G83" s="1060">
        <f>F83/100*D83</f>
        <v>0</v>
      </c>
      <c r="H83" s="1066"/>
      <c r="I83" s="1060">
        <f>H83/100*D83</f>
        <v>0</v>
      </c>
      <c r="J83" s="1066">
        <f t="shared" ref="J83" si="33">(F83+H83)/2</f>
        <v>0</v>
      </c>
      <c r="K83" s="1060">
        <f>(J83/100)*D83</f>
        <v>0</v>
      </c>
    </row>
    <row r="84" spans="1:11" ht="72" hidden="1" customHeight="1" x14ac:dyDescent="0.45">
      <c r="A84" s="1063"/>
      <c r="B84" s="1062" t="str">
        <f>IF('LAMPIRAN III DONE'!C99=0,"",'LAMPIRAN III DONE'!C99)</f>
        <v/>
      </c>
      <c r="C84" s="1062"/>
      <c r="D84" s="1063"/>
      <c r="E84" s="1065"/>
      <c r="F84" s="1067"/>
      <c r="G84" s="1061"/>
      <c r="H84" s="1067"/>
      <c r="I84" s="1061"/>
      <c r="J84" s="1067"/>
      <c r="K84" s="1061"/>
    </row>
    <row r="85" spans="1:11" ht="33" hidden="1" customHeight="1" x14ac:dyDescent="0.45">
      <c r="A85" s="1063">
        <v>36</v>
      </c>
      <c r="B85" s="1062" t="str">
        <f>IF('LAMPIRAN III DONE'!C100=0,"",'LAMPIRAN III DONE'!C100)</f>
        <v/>
      </c>
      <c r="C85" s="1062"/>
      <c r="D85" s="1063">
        <f>'LAMPIRAN III DONE'!N100</f>
        <v>0</v>
      </c>
      <c r="E85" s="1064" t="str">
        <f>'LAMPIRAN III DONE'!E156</f>
        <v>-</v>
      </c>
      <c r="F85" s="1066"/>
      <c r="G85" s="1060">
        <f>F85/100*D85</f>
        <v>0</v>
      </c>
      <c r="H85" s="1066"/>
      <c r="I85" s="1060">
        <f>H85/100*D85</f>
        <v>0</v>
      </c>
      <c r="J85" s="1066">
        <f t="shared" ref="J85" si="34">(F85+H85)/2</f>
        <v>0</v>
      </c>
      <c r="K85" s="1060">
        <f>(J85/100)*D85</f>
        <v>0</v>
      </c>
    </row>
    <row r="86" spans="1:11" ht="66.75" hidden="1" customHeight="1" x14ac:dyDescent="0.45">
      <c r="A86" s="1063"/>
      <c r="B86" s="1062" t="str">
        <f>IF('LAMPIRAN III DONE'!C101=0,"",'LAMPIRAN III DONE'!C101)</f>
        <v/>
      </c>
      <c r="C86" s="1062"/>
      <c r="D86" s="1063"/>
      <c r="E86" s="1065"/>
      <c r="F86" s="1067"/>
      <c r="G86" s="1061"/>
      <c r="H86" s="1067"/>
      <c r="I86" s="1061"/>
      <c r="J86" s="1067"/>
      <c r="K86" s="1061"/>
    </row>
    <row r="87" spans="1:11" ht="32.25" hidden="1" customHeight="1" x14ac:dyDescent="0.45">
      <c r="A87" s="1063">
        <v>37</v>
      </c>
      <c r="B87" s="1062" t="str">
        <f>IF('LAMPIRAN III DONE'!C102=0,"",'LAMPIRAN III DONE'!C102)</f>
        <v/>
      </c>
      <c r="C87" s="1062"/>
      <c r="D87" s="1063">
        <f>'LAMPIRAN III DONE'!N102</f>
        <v>0</v>
      </c>
      <c r="E87" s="1064" t="str">
        <f>'LAMPIRAN III DONE'!E158</f>
        <v>-</v>
      </c>
      <c r="F87" s="1066"/>
      <c r="G87" s="1060">
        <f>F87/100*D87</f>
        <v>0</v>
      </c>
      <c r="H87" s="1066"/>
      <c r="I87" s="1060">
        <f>H87/100*D87</f>
        <v>0</v>
      </c>
      <c r="J87" s="1066">
        <f t="shared" ref="J87" si="35">(F87+H87)/2</f>
        <v>0</v>
      </c>
      <c r="K87" s="1060">
        <f>(J87/100)*D87</f>
        <v>0</v>
      </c>
    </row>
    <row r="88" spans="1:11" ht="75.75" hidden="1" customHeight="1" x14ac:dyDescent="0.45">
      <c r="A88" s="1063"/>
      <c r="B88" s="1062" t="str">
        <f>IF('LAMPIRAN III DONE'!C103=0,"",'LAMPIRAN III DONE'!C103)</f>
        <v/>
      </c>
      <c r="C88" s="1062"/>
      <c r="D88" s="1063"/>
      <c r="E88" s="1065"/>
      <c r="F88" s="1067"/>
      <c r="G88" s="1061"/>
      <c r="H88" s="1067"/>
      <c r="I88" s="1061"/>
      <c r="J88" s="1067"/>
      <c r="K88" s="1061"/>
    </row>
    <row r="89" spans="1:11" ht="15" hidden="1" customHeight="1" x14ac:dyDescent="0.45">
      <c r="A89" s="1063">
        <v>38</v>
      </c>
      <c r="B89" s="1062" t="str">
        <f>IF('LAMPIRAN III DONE'!C104=0,"",'LAMPIRAN III DONE'!C104)</f>
        <v/>
      </c>
      <c r="C89" s="1062"/>
      <c r="D89" s="1063">
        <f>'LAMPIRAN III DONE'!N104</f>
        <v>0</v>
      </c>
      <c r="E89" s="1064">
        <f>'LAMPIRAN III DONE'!E160</f>
        <v>0</v>
      </c>
      <c r="F89" s="1066"/>
      <c r="G89" s="1060">
        <f>F89/100*D89</f>
        <v>0</v>
      </c>
      <c r="H89" s="1066"/>
      <c r="I89" s="1060">
        <f>H89/100*D89</f>
        <v>0</v>
      </c>
      <c r="J89" s="1066">
        <f t="shared" ref="J89" si="36">(F89+H89)/2</f>
        <v>0</v>
      </c>
      <c r="K89" s="1060">
        <f>(J89/100)*D89</f>
        <v>0</v>
      </c>
    </row>
    <row r="90" spans="1:11" ht="66" hidden="1" customHeight="1" x14ac:dyDescent="0.45">
      <c r="A90" s="1063"/>
      <c r="B90" s="1062" t="str">
        <f>IF('LAMPIRAN III DONE'!C105=0,"",'LAMPIRAN III DONE'!C105)</f>
        <v/>
      </c>
      <c r="C90" s="1062"/>
      <c r="D90" s="1063"/>
      <c r="E90" s="1065"/>
      <c r="F90" s="1067"/>
      <c r="G90" s="1061"/>
      <c r="H90" s="1067"/>
      <c r="I90" s="1061"/>
      <c r="J90" s="1067"/>
      <c r="K90" s="1061"/>
    </row>
    <row r="91" spans="1:11" ht="27" hidden="1" customHeight="1" x14ac:dyDescent="0.45">
      <c r="A91" s="1063">
        <v>39</v>
      </c>
      <c r="B91" s="1062" t="str">
        <f>IF('LAMPIRAN III DONE'!C106=0,"",'LAMPIRAN III DONE'!C106)</f>
        <v/>
      </c>
      <c r="C91" s="1062"/>
      <c r="D91" s="1063">
        <f>'LAMPIRAN III DONE'!N106</f>
        <v>0</v>
      </c>
      <c r="E91" s="1064" t="str">
        <f>'LAMPIRAN III DONE'!E162</f>
        <v>-</v>
      </c>
      <c r="F91" s="1066"/>
      <c r="G91" s="1060">
        <f>F91/100*D91</f>
        <v>0</v>
      </c>
      <c r="H91" s="1066"/>
      <c r="I91" s="1060">
        <f>H91/100*D91</f>
        <v>0</v>
      </c>
      <c r="J91" s="1066">
        <f t="shared" ref="J91" si="37">(F91+H91)/2</f>
        <v>0</v>
      </c>
      <c r="K91" s="1060">
        <f>(J91/100)*D91</f>
        <v>0</v>
      </c>
    </row>
    <row r="92" spans="1:11" ht="58.5" hidden="1" customHeight="1" x14ac:dyDescent="0.45">
      <c r="A92" s="1063"/>
      <c r="B92" s="1062" t="str">
        <f>IF('LAMPIRAN III DONE'!C107=0,"",'LAMPIRAN III DONE'!C107)</f>
        <v/>
      </c>
      <c r="C92" s="1062"/>
      <c r="D92" s="1063"/>
      <c r="E92" s="1065"/>
      <c r="F92" s="1067"/>
      <c r="G92" s="1061"/>
      <c r="H92" s="1067"/>
      <c r="I92" s="1061"/>
      <c r="J92" s="1067"/>
      <c r="K92" s="1061"/>
    </row>
    <row r="93" spans="1:11" ht="27.75" hidden="1" customHeight="1" x14ac:dyDescent="0.45">
      <c r="A93" s="1063">
        <v>40</v>
      </c>
      <c r="B93" s="1062" t="str">
        <f>IF('LAMPIRAN III DONE'!C108=0,"",'LAMPIRAN III DONE'!C108)</f>
        <v/>
      </c>
      <c r="C93" s="1062"/>
      <c r="D93" s="1063">
        <f>'LAMPIRAN III DONE'!N108</f>
        <v>0</v>
      </c>
      <c r="E93" s="1064" t="str">
        <f>'LAMPIRAN III DONE'!E164</f>
        <v>-</v>
      </c>
      <c r="F93" s="1066"/>
      <c r="G93" s="1060">
        <f>F93/100*D93</f>
        <v>0</v>
      </c>
      <c r="H93" s="1066"/>
      <c r="I93" s="1060">
        <f>H93/100*D93</f>
        <v>0</v>
      </c>
      <c r="J93" s="1066">
        <f t="shared" ref="J93" si="38">(F93+H93)/2</f>
        <v>0</v>
      </c>
      <c r="K93" s="1060">
        <f>(J93/100)*D93</f>
        <v>0</v>
      </c>
    </row>
    <row r="94" spans="1:11" ht="49.5" hidden="1" customHeight="1" x14ac:dyDescent="0.45">
      <c r="A94" s="1063"/>
      <c r="B94" s="1062" t="str">
        <f>IF('LAMPIRAN III DONE'!C109=0,"",'LAMPIRAN III DONE'!C109)</f>
        <v/>
      </c>
      <c r="C94" s="1062"/>
      <c r="D94" s="1063"/>
      <c r="E94" s="1065"/>
      <c r="F94" s="1067"/>
      <c r="G94" s="1061"/>
      <c r="H94" s="1067"/>
      <c r="I94" s="1061"/>
      <c r="J94" s="1067"/>
      <c r="K94" s="1061"/>
    </row>
    <row r="95" spans="1:11" ht="21.75" customHeight="1" x14ac:dyDescent="0.45">
      <c r="A95" s="1068" t="s">
        <v>806</v>
      </c>
      <c r="B95" s="1069"/>
      <c r="C95" s="1069"/>
      <c r="D95" s="790"/>
      <c r="E95" s="791"/>
      <c r="F95" s="792"/>
      <c r="G95" s="793"/>
      <c r="H95" s="792"/>
      <c r="I95" s="793"/>
      <c r="J95" s="792"/>
      <c r="K95" s="794"/>
    </row>
    <row r="96" spans="1:11" ht="23.25" hidden="1" customHeight="1" x14ac:dyDescent="0.45">
      <c r="A96" s="1063">
        <v>41</v>
      </c>
      <c r="B96" s="1062" t="str">
        <f>IF('LAMPIRAN III DONE'!C111=0,"",'LAMPIRAN III DONE'!C111)</f>
        <v/>
      </c>
      <c r="C96" s="1062"/>
      <c r="D96" s="1063">
        <f>'LAMPIRAN III DONE'!N111</f>
        <v>0</v>
      </c>
      <c r="E96" s="1064">
        <f>'LAMPIRAN III DONE'!E166</f>
        <v>0</v>
      </c>
      <c r="F96" s="1066"/>
      <c r="G96" s="1060">
        <f>F96/100*D96</f>
        <v>0</v>
      </c>
      <c r="H96" s="1066"/>
      <c r="I96" s="1060">
        <f>H96/100*D96</f>
        <v>0</v>
      </c>
      <c r="J96" s="1066">
        <f t="shared" ref="J96" si="39">(F96+H96)/2</f>
        <v>0</v>
      </c>
      <c r="K96" s="1060">
        <f>(J96/100)*D96</f>
        <v>0</v>
      </c>
    </row>
    <row r="97" spans="1:11" ht="76.5" hidden="1" customHeight="1" x14ac:dyDescent="0.45">
      <c r="A97" s="1063"/>
      <c r="B97" s="1062" t="str">
        <f>IF('LAMPIRAN III DONE'!C112=0,"",'LAMPIRAN III DONE'!C112)</f>
        <v/>
      </c>
      <c r="C97" s="1062"/>
      <c r="D97" s="1063"/>
      <c r="E97" s="1065"/>
      <c r="F97" s="1067"/>
      <c r="G97" s="1061"/>
      <c r="H97" s="1067"/>
      <c r="I97" s="1061"/>
      <c r="J97" s="1067"/>
      <c r="K97" s="1061"/>
    </row>
    <row r="98" spans="1:11" ht="15" hidden="1" customHeight="1" x14ac:dyDescent="0.45">
      <c r="A98" s="1063">
        <v>42</v>
      </c>
      <c r="B98" s="1062" t="str">
        <f>IF('LAMPIRAN III DONE'!C113=0,"",'LAMPIRAN III DONE'!C113)</f>
        <v/>
      </c>
      <c r="C98" s="1062"/>
      <c r="D98" s="1063">
        <f>'LAMPIRAN III DONE'!N113</f>
        <v>0</v>
      </c>
      <c r="E98" s="1064" t="str">
        <f>'LAMPIRAN III DONE'!E168</f>
        <v>-</v>
      </c>
      <c r="F98" s="1066"/>
      <c r="G98" s="1060">
        <f>F98/100*D98</f>
        <v>0</v>
      </c>
      <c r="H98" s="1066"/>
      <c r="I98" s="1060">
        <f>H98/100*D98</f>
        <v>0</v>
      </c>
      <c r="J98" s="1066">
        <f t="shared" ref="J98" si="40">(F98+H98)/2</f>
        <v>0</v>
      </c>
      <c r="K98" s="1060">
        <f>(J98/100)*D98</f>
        <v>0</v>
      </c>
    </row>
    <row r="99" spans="1:11" ht="75.75" hidden="1" customHeight="1" x14ac:dyDescent="0.45">
      <c r="A99" s="1063"/>
      <c r="B99" s="1062" t="str">
        <f>IF('LAMPIRAN III DONE'!C114=0,"",'LAMPIRAN III DONE'!C114)</f>
        <v/>
      </c>
      <c r="C99" s="1062"/>
      <c r="D99" s="1063"/>
      <c r="E99" s="1065"/>
      <c r="F99" s="1067"/>
      <c r="G99" s="1061"/>
      <c r="H99" s="1067"/>
      <c r="I99" s="1061"/>
      <c r="J99" s="1067"/>
      <c r="K99" s="1061"/>
    </row>
    <row r="100" spans="1:11" ht="15" hidden="1" customHeight="1" x14ac:dyDescent="0.45">
      <c r="A100" s="1063">
        <v>43</v>
      </c>
      <c r="B100" s="1062" t="str">
        <f>IF('LAMPIRAN III DONE'!C115=0,"",'LAMPIRAN III DONE'!C115)</f>
        <v/>
      </c>
      <c r="C100" s="1062"/>
      <c r="D100" s="1063">
        <f>'LAMPIRAN III DONE'!N115</f>
        <v>0</v>
      </c>
      <c r="E100" s="1064" t="str">
        <f>'LAMPIRAN III DONE'!E174</f>
        <v>-</v>
      </c>
      <c r="F100" s="1066"/>
      <c r="G100" s="1060">
        <f>F100/100*D100</f>
        <v>0</v>
      </c>
      <c r="H100" s="1066"/>
      <c r="I100" s="1060">
        <f>H100/100*D100</f>
        <v>0</v>
      </c>
      <c r="J100" s="1066">
        <f t="shared" ref="J100" si="41">(F100+H100)/2</f>
        <v>0</v>
      </c>
      <c r="K100" s="1060">
        <f>(J100/100)*D100</f>
        <v>0</v>
      </c>
    </row>
    <row r="101" spans="1:11" ht="66" hidden="1" customHeight="1" x14ac:dyDescent="0.45">
      <c r="A101" s="1063"/>
      <c r="B101" s="1062" t="str">
        <f>IF('LAMPIRAN III DONE'!C116=0,"",'LAMPIRAN III DONE'!C116)</f>
        <v/>
      </c>
      <c r="C101" s="1062"/>
      <c r="D101" s="1063"/>
      <c r="E101" s="1065"/>
      <c r="F101" s="1067"/>
      <c r="G101" s="1061"/>
      <c r="H101" s="1067"/>
      <c r="I101" s="1061"/>
      <c r="J101" s="1067"/>
      <c r="K101" s="1061"/>
    </row>
    <row r="102" spans="1:11" ht="31.5" hidden="1" customHeight="1" x14ac:dyDescent="0.45">
      <c r="A102" s="1063">
        <v>44</v>
      </c>
      <c r="B102" s="1062" t="str">
        <f>IF('LAMPIRAN III DONE'!C117=0,"",'LAMPIRAN III DONE'!C117)</f>
        <v/>
      </c>
      <c r="C102" s="1062"/>
      <c r="D102" s="1063">
        <f>'LAMPIRAN III DONE'!N117</f>
        <v>0</v>
      </c>
      <c r="E102" s="1064">
        <f>'LAMPIRAN III DONE'!E176</f>
        <v>0</v>
      </c>
      <c r="F102" s="1066"/>
      <c r="G102" s="1060">
        <f>F102/100*D102</f>
        <v>0</v>
      </c>
      <c r="H102" s="1066"/>
      <c r="I102" s="1060">
        <f>H102/100*D102</f>
        <v>0</v>
      </c>
      <c r="J102" s="1066">
        <f t="shared" ref="J102" si="42">(F102+H102)/2</f>
        <v>0</v>
      </c>
      <c r="K102" s="1060">
        <f>(J102/100)*D102</f>
        <v>0</v>
      </c>
    </row>
    <row r="103" spans="1:11" ht="64.5" hidden="1" customHeight="1" x14ac:dyDescent="0.45">
      <c r="A103" s="1063"/>
      <c r="B103" s="1062" t="str">
        <f>IF('LAMPIRAN III DONE'!C118=0,"",'LAMPIRAN III DONE'!C118)</f>
        <v/>
      </c>
      <c r="C103" s="1062"/>
      <c r="D103" s="1063"/>
      <c r="E103" s="1065"/>
      <c r="F103" s="1067"/>
      <c r="G103" s="1061"/>
      <c r="H103" s="1067"/>
      <c r="I103" s="1061"/>
      <c r="J103" s="1067"/>
      <c r="K103" s="1061"/>
    </row>
    <row r="104" spans="1:11" ht="15" hidden="1" customHeight="1" x14ac:dyDescent="0.45">
      <c r="A104" s="1063">
        <v>45</v>
      </c>
      <c r="B104" s="1062" t="str">
        <f>IF('LAMPIRAN III DONE'!C119=0,"",'LAMPIRAN III DONE'!C119)</f>
        <v/>
      </c>
      <c r="C104" s="1062"/>
      <c r="D104" s="1063">
        <f>'LAMPIRAN III DONE'!N119</f>
        <v>0</v>
      </c>
      <c r="E104" s="1064" t="str">
        <f>'LAMPIRAN III DONE'!E178</f>
        <v>-</v>
      </c>
      <c r="F104" s="1066"/>
      <c r="G104" s="1060">
        <f>F104/100*D104</f>
        <v>0</v>
      </c>
      <c r="H104" s="1066"/>
      <c r="I104" s="1060">
        <f>H104/100*D104</f>
        <v>0</v>
      </c>
      <c r="J104" s="1066">
        <f t="shared" ref="J104" si="43">(F104+H104)/2</f>
        <v>0</v>
      </c>
      <c r="K104" s="1060">
        <f>(J104/100)*D104</f>
        <v>0</v>
      </c>
    </row>
    <row r="105" spans="1:11" ht="60.75" hidden="1" customHeight="1" x14ac:dyDescent="0.45">
      <c r="A105" s="1063"/>
      <c r="B105" s="1062" t="str">
        <f>IF('LAMPIRAN III DONE'!C120=0,"",'LAMPIRAN III DONE'!C120)</f>
        <v/>
      </c>
      <c r="C105" s="1062"/>
      <c r="D105" s="1063"/>
      <c r="E105" s="1065"/>
      <c r="F105" s="1067"/>
      <c r="G105" s="1061"/>
      <c r="H105" s="1067"/>
      <c r="I105" s="1061"/>
      <c r="J105" s="1067"/>
      <c r="K105" s="1061"/>
    </row>
    <row r="106" spans="1:11" ht="21.75" customHeight="1" x14ac:dyDescent="0.45">
      <c r="A106" s="1068" t="s">
        <v>787</v>
      </c>
      <c r="B106" s="1069"/>
      <c r="C106" s="1069"/>
      <c r="D106" s="790"/>
      <c r="E106" s="791"/>
      <c r="F106" s="792"/>
      <c r="G106" s="793"/>
      <c r="H106" s="792"/>
      <c r="I106" s="793"/>
      <c r="J106" s="792"/>
      <c r="K106" s="794"/>
    </row>
    <row r="107" spans="1:11" ht="15" hidden="1" customHeight="1" x14ac:dyDescent="0.45">
      <c r="A107" s="1063">
        <v>46</v>
      </c>
      <c r="B107" s="1062" t="str">
        <f>IF('LAMPIRAN III DONE'!C122=0,"",'LAMPIRAN III DONE'!C122)</f>
        <v/>
      </c>
      <c r="C107" s="1062"/>
      <c r="D107" s="1063">
        <f>'LAMPIRAN III DONE'!N122</f>
        <v>0</v>
      </c>
      <c r="E107" s="1064" t="str">
        <f>'LAMPIRAN III DONE'!E180</f>
        <v>-</v>
      </c>
      <c r="F107" s="1066"/>
      <c r="G107" s="1060">
        <f>F107/100*D107</f>
        <v>0</v>
      </c>
      <c r="H107" s="1066"/>
      <c r="I107" s="1060">
        <f>H107/100*D107</f>
        <v>0</v>
      </c>
      <c r="J107" s="1066">
        <f t="shared" ref="J107" si="44">(F107+H107)/2</f>
        <v>0</v>
      </c>
      <c r="K107" s="1060">
        <f>(J107/100)*D107</f>
        <v>0</v>
      </c>
    </row>
    <row r="108" spans="1:11" ht="63" hidden="1" customHeight="1" x14ac:dyDescent="0.45">
      <c r="A108" s="1063"/>
      <c r="B108" s="1062" t="str">
        <f>IF('LAMPIRAN III DONE'!C123=0,"",'LAMPIRAN III DONE'!C123)</f>
        <v/>
      </c>
      <c r="C108" s="1062"/>
      <c r="D108" s="1063"/>
      <c r="E108" s="1065"/>
      <c r="F108" s="1067"/>
      <c r="G108" s="1061"/>
      <c r="H108" s="1067"/>
      <c r="I108" s="1061"/>
      <c r="J108" s="1067"/>
      <c r="K108" s="1061"/>
    </row>
    <row r="109" spans="1:11" ht="15" hidden="1" customHeight="1" x14ac:dyDescent="0.45">
      <c r="A109" s="1063">
        <v>47</v>
      </c>
      <c r="B109" s="1062" t="str">
        <f>IF('LAMPIRAN III DONE'!C124=0,"",'LAMPIRAN III DONE'!C124)</f>
        <v/>
      </c>
      <c r="C109" s="1062"/>
      <c r="D109" s="1063">
        <f>'LAMPIRAN III DONE'!N124</f>
        <v>0</v>
      </c>
      <c r="E109" s="1064" t="str">
        <f>'LAMPIRAN III DONE'!E182</f>
        <v>-</v>
      </c>
      <c r="F109" s="1066"/>
      <c r="G109" s="1060">
        <f>F109/100*D109</f>
        <v>0</v>
      </c>
      <c r="H109" s="1066"/>
      <c r="I109" s="1060">
        <f>H109/100*D109</f>
        <v>0</v>
      </c>
      <c r="J109" s="1066">
        <f t="shared" ref="J109" si="45">(F109+H109)/2</f>
        <v>0</v>
      </c>
      <c r="K109" s="1060">
        <f>(J109/100)*D109</f>
        <v>0</v>
      </c>
    </row>
    <row r="110" spans="1:11" ht="64.5" hidden="1" customHeight="1" x14ac:dyDescent="0.45">
      <c r="A110" s="1063"/>
      <c r="B110" s="1062" t="str">
        <f>IF('LAMPIRAN III DONE'!C125=0,"",'LAMPIRAN III DONE'!C125)</f>
        <v/>
      </c>
      <c r="C110" s="1062"/>
      <c r="D110" s="1063"/>
      <c r="E110" s="1065"/>
      <c r="F110" s="1067"/>
      <c r="G110" s="1061"/>
      <c r="H110" s="1067"/>
      <c r="I110" s="1061"/>
      <c r="J110" s="1067"/>
      <c r="K110" s="1061"/>
    </row>
    <row r="111" spans="1:11" ht="15" hidden="1" customHeight="1" x14ac:dyDescent="0.45">
      <c r="A111" s="1063">
        <v>48</v>
      </c>
      <c r="B111" s="1062" t="str">
        <f>IF('LAMPIRAN III DONE'!C126=0,"",'LAMPIRAN III DONE'!C126)</f>
        <v/>
      </c>
      <c r="C111" s="1062"/>
      <c r="D111" s="1063">
        <f>'LAMPIRAN III DONE'!N126</f>
        <v>0</v>
      </c>
      <c r="E111" s="1064" t="str">
        <f>'LAMPIRAN III DONE'!E180</f>
        <v>-</v>
      </c>
      <c r="F111" s="1066"/>
      <c r="G111" s="1060">
        <f>F111/100*D111</f>
        <v>0</v>
      </c>
      <c r="H111" s="1066"/>
      <c r="I111" s="1060">
        <f>H111/100*D111</f>
        <v>0</v>
      </c>
      <c r="J111" s="1066">
        <f t="shared" ref="J111" si="46">(F111+H111)/2</f>
        <v>0</v>
      </c>
      <c r="K111" s="1060">
        <f>(J111/100)*D111</f>
        <v>0</v>
      </c>
    </row>
    <row r="112" spans="1:11" ht="75.75" hidden="1" customHeight="1" x14ac:dyDescent="0.45">
      <c r="A112" s="1063"/>
      <c r="B112" s="1062" t="str">
        <f>IF('LAMPIRAN III DONE'!C127=0,"",'LAMPIRAN III DONE'!C127)</f>
        <v/>
      </c>
      <c r="C112" s="1062"/>
      <c r="D112" s="1063"/>
      <c r="E112" s="1065"/>
      <c r="F112" s="1067"/>
      <c r="G112" s="1061"/>
      <c r="H112" s="1067"/>
      <c r="I112" s="1061"/>
      <c r="J112" s="1067"/>
      <c r="K112" s="1061"/>
    </row>
    <row r="113" spans="1:11" ht="30" hidden="1" customHeight="1" x14ac:dyDescent="0.45">
      <c r="A113" s="1063">
        <v>49</v>
      </c>
      <c r="B113" s="1062" t="str">
        <f>IF('LAMPIRAN III DONE'!C128=0,"",'LAMPIRAN III DONE'!C128)</f>
        <v/>
      </c>
      <c r="C113" s="1062"/>
      <c r="D113" s="1063">
        <f>'LAMPIRAN III DONE'!N128</f>
        <v>0</v>
      </c>
      <c r="E113" s="1064" t="str">
        <f>'LAMPIRAN III DONE'!E180</f>
        <v>-</v>
      </c>
      <c r="F113" s="1066"/>
      <c r="G113" s="1060">
        <f>F113/100*D113</f>
        <v>0</v>
      </c>
      <c r="H113" s="1066"/>
      <c r="I113" s="1060">
        <f>H113/100*D113</f>
        <v>0</v>
      </c>
      <c r="J113" s="1066">
        <f t="shared" ref="J113" si="47">(F113+H113)/2</f>
        <v>0</v>
      </c>
      <c r="K113" s="1060">
        <f>(J113/100)*D113</f>
        <v>0</v>
      </c>
    </row>
    <row r="114" spans="1:11" ht="73.5" hidden="1" customHeight="1" x14ac:dyDescent="0.45">
      <c r="A114" s="1063"/>
      <c r="B114" s="1062" t="str">
        <f>IF('LAMPIRAN III DONE'!C129=0,"",'LAMPIRAN III DONE'!C129)</f>
        <v/>
      </c>
      <c r="C114" s="1062"/>
      <c r="D114" s="1063"/>
      <c r="E114" s="1065"/>
      <c r="F114" s="1067"/>
      <c r="G114" s="1061"/>
      <c r="H114" s="1067"/>
      <c r="I114" s="1061"/>
      <c r="J114" s="1067"/>
      <c r="K114" s="1061"/>
    </row>
    <row r="115" spans="1:11" ht="15" hidden="1" customHeight="1" x14ac:dyDescent="0.45">
      <c r="A115" s="1063">
        <v>50</v>
      </c>
      <c r="B115" s="1062" t="str">
        <f>IF('LAMPIRAN III DONE'!C130=0,"",'LAMPIRAN III DONE'!C130)</f>
        <v/>
      </c>
      <c r="C115" s="1062"/>
      <c r="D115" s="1063">
        <f>'LAMPIRAN III DONE'!N130</f>
        <v>0</v>
      </c>
      <c r="E115" s="1064">
        <f>'LAMPIRAN III DONE'!E184</f>
        <v>0</v>
      </c>
      <c r="F115" s="1066"/>
      <c r="G115" s="1060">
        <f>F115/100*D115</f>
        <v>0</v>
      </c>
      <c r="H115" s="1066"/>
      <c r="I115" s="1060">
        <f>H115/100*D115</f>
        <v>0</v>
      </c>
      <c r="J115" s="1066">
        <f t="shared" ref="J115" si="48">(F115+H115)/2</f>
        <v>0</v>
      </c>
      <c r="K115" s="1060">
        <f>(J115/100)*D115</f>
        <v>0</v>
      </c>
    </row>
    <row r="116" spans="1:11" ht="75.75" hidden="1" customHeight="1" x14ac:dyDescent="0.45">
      <c r="A116" s="1063"/>
      <c r="B116" s="1062" t="str">
        <f>IF('LAMPIRAN III DONE'!C131=0,"",'LAMPIRAN III DONE'!C131)</f>
        <v/>
      </c>
      <c r="C116" s="1062"/>
      <c r="D116" s="1063"/>
      <c r="E116" s="1065"/>
      <c r="F116" s="1067"/>
      <c r="G116" s="1061"/>
      <c r="H116" s="1067"/>
      <c r="I116" s="1061"/>
      <c r="J116" s="1067"/>
      <c r="K116" s="1061"/>
    </row>
    <row r="117" spans="1:11" ht="21.75" customHeight="1" x14ac:dyDescent="0.45">
      <c r="A117" s="1068" t="s">
        <v>788</v>
      </c>
      <c r="B117" s="1069"/>
      <c r="C117" s="1069"/>
      <c r="D117" s="790"/>
      <c r="E117" s="791"/>
      <c r="F117" s="792"/>
      <c r="G117" s="793"/>
      <c r="H117" s="792"/>
      <c r="I117" s="793"/>
      <c r="J117" s="792"/>
      <c r="K117" s="794"/>
    </row>
    <row r="118" spans="1:11" ht="30" hidden="1" customHeight="1" x14ac:dyDescent="0.45">
      <c r="A118" s="1063">
        <v>51</v>
      </c>
      <c r="B118" s="1062" t="str">
        <f>IF('LAMPIRAN III DONE'!C133=0,"",'LAMPIRAN III DONE'!C133)</f>
        <v/>
      </c>
      <c r="C118" s="1062"/>
      <c r="D118" s="1063">
        <f>'LAMPIRAN III DONE'!N133</f>
        <v>0</v>
      </c>
      <c r="E118" s="1064">
        <f>'LAMPIRAN III DONE'!E184</f>
        <v>0</v>
      </c>
      <c r="F118" s="1066"/>
      <c r="G118" s="1060">
        <f>F118/100*D118</f>
        <v>0</v>
      </c>
      <c r="H118" s="1066"/>
      <c r="I118" s="1060">
        <f>H118/100*D118</f>
        <v>0</v>
      </c>
      <c r="J118" s="1066">
        <f t="shared" ref="J118" si="49">(F118+H118)/2</f>
        <v>0</v>
      </c>
      <c r="K118" s="1060">
        <f>(J118/100)*D118</f>
        <v>0</v>
      </c>
    </row>
    <row r="119" spans="1:11" ht="73.5" hidden="1" customHeight="1" x14ac:dyDescent="0.45">
      <c r="A119" s="1063"/>
      <c r="B119" s="1062" t="str">
        <f>IF('LAMPIRAN III DONE'!C134=0,"",'LAMPIRAN III DONE'!C134)</f>
        <v/>
      </c>
      <c r="C119" s="1062"/>
      <c r="D119" s="1063"/>
      <c r="E119" s="1065"/>
      <c r="F119" s="1067"/>
      <c r="G119" s="1061"/>
      <c r="H119" s="1067"/>
      <c r="I119" s="1061"/>
      <c r="J119" s="1067"/>
      <c r="K119" s="1061"/>
    </row>
    <row r="120" spans="1:11" ht="15" hidden="1" customHeight="1" x14ac:dyDescent="0.45">
      <c r="A120" s="1063">
        <v>52</v>
      </c>
      <c r="B120" s="1062" t="str">
        <f>IF('LAMPIRAN III DONE'!C135=0,"",'LAMPIRAN III DONE'!C135)</f>
        <v/>
      </c>
      <c r="C120" s="1062"/>
      <c r="D120" s="1063">
        <f>'LAMPIRAN III DONE'!N135</f>
        <v>0</v>
      </c>
      <c r="E120" s="1064">
        <f>'LAMPIRAN III DONE'!E188</f>
        <v>0</v>
      </c>
      <c r="F120" s="1066"/>
      <c r="G120" s="1060">
        <f>F120/100*D120</f>
        <v>0</v>
      </c>
      <c r="H120" s="1066"/>
      <c r="I120" s="1060">
        <f>H120/100*D120</f>
        <v>0</v>
      </c>
      <c r="J120" s="1066">
        <f t="shared" ref="J120" si="50">(F120+H120)/2</f>
        <v>0</v>
      </c>
      <c r="K120" s="1060">
        <f>(J120/100)*D120</f>
        <v>0</v>
      </c>
    </row>
    <row r="121" spans="1:11" ht="75.75" hidden="1" customHeight="1" x14ac:dyDescent="0.45">
      <c r="A121" s="1063"/>
      <c r="B121" s="1062" t="str">
        <f>IF('LAMPIRAN III DONE'!C136=0,"",'LAMPIRAN III DONE'!C136)</f>
        <v/>
      </c>
      <c r="C121" s="1062"/>
      <c r="D121" s="1063"/>
      <c r="E121" s="1065"/>
      <c r="F121" s="1067"/>
      <c r="G121" s="1061"/>
      <c r="H121" s="1067"/>
      <c r="I121" s="1061"/>
      <c r="J121" s="1067"/>
      <c r="K121" s="1061"/>
    </row>
    <row r="122" spans="1:11" ht="30" hidden="1" customHeight="1" x14ac:dyDescent="0.45">
      <c r="A122" s="1063">
        <v>53</v>
      </c>
      <c r="B122" s="1062" t="str">
        <f>IF('LAMPIRAN III DONE'!C137=0,"",'LAMPIRAN III DONE'!C137)</f>
        <v/>
      </c>
      <c r="C122" s="1062"/>
      <c r="D122" s="1063">
        <f>'LAMPIRAN III DONE'!N137</f>
        <v>0</v>
      </c>
      <c r="E122" s="1064" t="str">
        <f>'LAMPIRAN III DONE'!E164</f>
        <v>-</v>
      </c>
      <c r="F122" s="1066"/>
      <c r="G122" s="1060">
        <f>F122/100*D122</f>
        <v>0</v>
      </c>
      <c r="H122" s="1066"/>
      <c r="I122" s="1060">
        <f>H122/100*D122</f>
        <v>0</v>
      </c>
      <c r="J122" s="1066">
        <f t="shared" ref="J122" si="51">(F122+H122)/2</f>
        <v>0</v>
      </c>
      <c r="K122" s="1060">
        <f>(J122/100)*D122</f>
        <v>0</v>
      </c>
    </row>
    <row r="123" spans="1:11" ht="73.5" hidden="1" customHeight="1" x14ac:dyDescent="0.45">
      <c r="A123" s="1063"/>
      <c r="B123" s="1062" t="str">
        <f>IF('LAMPIRAN III DONE'!C138=0,"",'LAMPIRAN III DONE'!C138)</f>
        <v/>
      </c>
      <c r="C123" s="1062"/>
      <c r="D123" s="1063"/>
      <c r="E123" s="1065"/>
      <c r="F123" s="1067"/>
      <c r="G123" s="1061"/>
      <c r="H123" s="1067"/>
      <c r="I123" s="1061"/>
      <c r="J123" s="1067"/>
      <c r="K123" s="1061"/>
    </row>
    <row r="124" spans="1:11" ht="15" hidden="1" customHeight="1" x14ac:dyDescent="0.45">
      <c r="A124" s="1063">
        <v>54</v>
      </c>
      <c r="B124" s="1062" t="str">
        <f>IF('LAMPIRAN III DONE'!C139=0,"",'LAMPIRAN III DONE'!C139)</f>
        <v/>
      </c>
      <c r="C124" s="1062"/>
      <c r="D124" s="1063">
        <f>'LAMPIRAN III DONE'!N139</f>
        <v>0</v>
      </c>
      <c r="E124" s="1064" t="str">
        <f>'LAMPIRAN III DONE'!E168</f>
        <v>-</v>
      </c>
      <c r="F124" s="1066"/>
      <c r="G124" s="1060">
        <f>F124/100*D124</f>
        <v>0</v>
      </c>
      <c r="H124" s="1066"/>
      <c r="I124" s="1060">
        <f>H124/100*D124</f>
        <v>0</v>
      </c>
      <c r="J124" s="1066">
        <f t="shared" ref="J124" si="52">(F124+H124)/2</f>
        <v>0</v>
      </c>
      <c r="K124" s="1060">
        <f>(J124/100)*D124</f>
        <v>0</v>
      </c>
    </row>
    <row r="125" spans="1:11" ht="75.75" hidden="1" customHeight="1" x14ac:dyDescent="0.45">
      <c r="A125" s="1063"/>
      <c r="B125" s="1062" t="str">
        <f>IF('LAMPIRAN III DONE'!C140=0,"",'LAMPIRAN III DONE'!C140)</f>
        <v/>
      </c>
      <c r="C125" s="1062"/>
      <c r="D125" s="1063"/>
      <c r="E125" s="1065"/>
      <c r="F125" s="1067"/>
      <c r="G125" s="1061"/>
      <c r="H125" s="1067"/>
      <c r="I125" s="1061"/>
      <c r="J125" s="1067"/>
      <c r="K125" s="1061"/>
    </row>
    <row r="126" spans="1:11" ht="30" hidden="1" customHeight="1" x14ac:dyDescent="0.45">
      <c r="A126" s="1063">
        <v>55</v>
      </c>
      <c r="B126" s="1062" t="str">
        <f>IF('LAMPIRAN III DONE'!C141=0,"",'LAMPIRAN III DONE'!C141)</f>
        <v/>
      </c>
      <c r="C126" s="1062"/>
      <c r="D126" s="1063">
        <f>'LAMPIRAN III DONE'!N141</f>
        <v>0</v>
      </c>
      <c r="E126" s="1064" t="str">
        <f>'LAMPIRAN III DONE'!E168</f>
        <v>-</v>
      </c>
      <c r="F126" s="1066"/>
      <c r="G126" s="1060">
        <f>F126/100*D126</f>
        <v>0</v>
      </c>
      <c r="H126" s="1066"/>
      <c r="I126" s="1060">
        <f>H126/100*D126</f>
        <v>0</v>
      </c>
      <c r="J126" s="1066">
        <f t="shared" ref="J126" si="53">(F126+H126)/2</f>
        <v>0</v>
      </c>
      <c r="K126" s="1060">
        <f>(J126/100)*D126</f>
        <v>0</v>
      </c>
    </row>
    <row r="127" spans="1:11" ht="73.5" hidden="1" customHeight="1" x14ac:dyDescent="0.45">
      <c r="A127" s="1063"/>
      <c r="B127" s="1062" t="str">
        <f>IF('LAMPIRAN III DONE'!C142=0,"",'LAMPIRAN III DONE'!C142)</f>
        <v/>
      </c>
      <c r="C127" s="1062"/>
      <c r="D127" s="1063"/>
      <c r="E127" s="1065"/>
      <c r="F127" s="1067"/>
      <c r="G127" s="1061"/>
      <c r="H127" s="1067"/>
      <c r="I127" s="1061"/>
      <c r="J127" s="1067"/>
      <c r="K127" s="1061"/>
    </row>
    <row r="128" spans="1:11" ht="21.75" customHeight="1" x14ac:dyDescent="0.45">
      <c r="A128" s="1068" t="s">
        <v>789</v>
      </c>
      <c r="B128" s="1069"/>
      <c r="C128" s="1069"/>
      <c r="D128" s="790"/>
      <c r="E128" s="791"/>
      <c r="F128" s="792"/>
      <c r="G128" s="793"/>
      <c r="H128" s="792"/>
      <c r="I128" s="793"/>
      <c r="J128" s="792"/>
      <c r="K128" s="794"/>
    </row>
    <row r="129" spans="1:11" ht="15" hidden="1" customHeight="1" x14ac:dyDescent="0.45">
      <c r="A129" s="1063">
        <v>56</v>
      </c>
      <c r="B129" s="1062" t="str">
        <f>IF('LAMPIRAN III DONE'!C144=0,"",'LAMPIRAN III DONE'!C144)</f>
        <v/>
      </c>
      <c r="C129" s="1062"/>
      <c r="D129" s="1063">
        <f>'LAMPIRAN III DONE'!N144</f>
        <v>0</v>
      </c>
      <c r="E129" s="1064">
        <f>'LAMPIRAN III DONE'!E176</f>
        <v>0</v>
      </c>
      <c r="F129" s="1066"/>
      <c r="G129" s="1060">
        <f>F129/100*D129</f>
        <v>0</v>
      </c>
      <c r="H129" s="1066"/>
      <c r="I129" s="1060">
        <f>H129/100*D129</f>
        <v>0</v>
      </c>
      <c r="J129" s="1066">
        <f t="shared" ref="J129" si="54">(F129+H129)/2</f>
        <v>0</v>
      </c>
      <c r="K129" s="1060">
        <f>(J129/100)*D129</f>
        <v>0</v>
      </c>
    </row>
    <row r="130" spans="1:11" ht="75.75" hidden="1" customHeight="1" x14ac:dyDescent="0.45">
      <c r="A130" s="1063"/>
      <c r="B130" s="1062" t="str">
        <f>IF('LAMPIRAN III DONE'!C145=0,"",'LAMPIRAN III DONE'!C145)</f>
        <v/>
      </c>
      <c r="C130" s="1062"/>
      <c r="D130" s="1063"/>
      <c r="E130" s="1065"/>
      <c r="F130" s="1067"/>
      <c r="G130" s="1061"/>
      <c r="H130" s="1067"/>
      <c r="I130" s="1061"/>
      <c r="J130" s="1067"/>
      <c r="K130" s="1061"/>
    </row>
    <row r="131" spans="1:11" ht="30" hidden="1" customHeight="1" x14ac:dyDescent="0.45">
      <c r="A131" s="1063">
        <v>57</v>
      </c>
      <c r="B131" s="1062" t="str">
        <f>IF('LAMPIRAN III DONE'!C146=0,"",'LAMPIRAN III DONE'!C146)</f>
        <v/>
      </c>
      <c r="C131" s="1062"/>
      <c r="D131" s="1063">
        <f>'LAMPIRAN III DONE'!N146</f>
        <v>0</v>
      </c>
      <c r="E131" s="1064">
        <f>'LAMPIRAN III DONE'!E176</f>
        <v>0</v>
      </c>
      <c r="F131" s="1066"/>
      <c r="G131" s="1060">
        <f>F131/100*D131</f>
        <v>0</v>
      </c>
      <c r="H131" s="1066"/>
      <c r="I131" s="1060">
        <f>H131/100*D131</f>
        <v>0</v>
      </c>
      <c r="J131" s="1066">
        <f t="shared" ref="J131" si="55">(F131+H131)/2</f>
        <v>0</v>
      </c>
      <c r="K131" s="1060">
        <f>(J131/100)*D131</f>
        <v>0</v>
      </c>
    </row>
    <row r="132" spans="1:11" ht="73.5" hidden="1" customHeight="1" x14ac:dyDescent="0.45">
      <c r="A132" s="1063"/>
      <c r="B132" s="1062" t="str">
        <f>IF('LAMPIRAN III DONE'!C147=0,"",'LAMPIRAN III DONE'!C147)</f>
        <v/>
      </c>
      <c r="C132" s="1062"/>
      <c r="D132" s="1063"/>
      <c r="E132" s="1065"/>
      <c r="F132" s="1067"/>
      <c r="G132" s="1061"/>
      <c r="H132" s="1067"/>
      <c r="I132" s="1061"/>
      <c r="J132" s="1067"/>
      <c r="K132" s="1061"/>
    </row>
    <row r="133" spans="1:11" ht="15" hidden="1" customHeight="1" x14ac:dyDescent="0.45">
      <c r="A133" s="1063">
        <v>58</v>
      </c>
      <c r="B133" s="1062" t="str">
        <f>IF('LAMPIRAN III DONE'!C148=0,"",'LAMPIRAN III DONE'!C148)</f>
        <v/>
      </c>
      <c r="C133" s="1062"/>
      <c r="D133" s="1063">
        <f>'LAMPIRAN III DONE'!N148</f>
        <v>0</v>
      </c>
      <c r="E133" s="1064" t="str">
        <f>'LAMPIRAN III DONE'!E180</f>
        <v>-</v>
      </c>
      <c r="F133" s="1066"/>
      <c r="G133" s="1060">
        <f>F133/100*D133</f>
        <v>0</v>
      </c>
      <c r="H133" s="1066"/>
      <c r="I133" s="1060">
        <f>H133/100*D133</f>
        <v>0</v>
      </c>
      <c r="J133" s="1066">
        <f t="shared" ref="J133" si="56">(F133+H133)/2</f>
        <v>0</v>
      </c>
      <c r="K133" s="1060">
        <f>(J133/100)*D133</f>
        <v>0</v>
      </c>
    </row>
    <row r="134" spans="1:11" ht="75.75" hidden="1" customHeight="1" x14ac:dyDescent="0.45">
      <c r="A134" s="1063"/>
      <c r="B134" s="1062" t="str">
        <f>IF('LAMPIRAN III DONE'!C149=0,"",'LAMPIRAN III DONE'!C149)</f>
        <v/>
      </c>
      <c r="C134" s="1062"/>
      <c r="D134" s="1063"/>
      <c r="E134" s="1065"/>
      <c r="F134" s="1067"/>
      <c r="G134" s="1061"/>
      <c r="H134" s="1067"/>
      <c r="I134" s="1061"/>
      <c r="J134" s="1067"/>
      <c r="K134" s="1061"/>
    </row>
    <row r="135" spans="1:11" ht="30" hidden="1" customHeight="1" x14ac:dyDescent="0.45">
      <c r="A135" s="1063">
        <v>59</v>
      </c>
      <c r="B135" s="1062" t="str">
        <f>IF('LAMPIRAN III DONE'!C150=0,"",'LAMPIRAN III DONE'!C150)</f>
        <v/>
      </c>
      <c r="C135" s="1062"/>
      <c r="D135" s="1063">
        <f>'LAMPIRAN III DONE'!N150</f>
        <v>0</v>
      </c>
      <c r="E135" s="1064" t="str">
        <f>'LAMPIRAN III DONE'!E180</f>
        <v>-</v>
      </c>
      <c r="F135" s="1066"/>
      <c r="G135" s="1060">
        <f>F135/100*D135</f>
        <v>0</v>
      </c>
      <c r="H135" s="1066"/>
      <c r="I135" s="1060">
        <f>H135/100*D135</f>
        <v>0</v>
      </c>
      <c r="J135" s="1066">
        <f t="shared" ref="J135" si="57">(F135+H135)/2</f>
        <v>0</v>
      </c>
      <c r="K135" s="1060">
        <f>(J135/100)*D135</f>
        <v>0</v>
      </c>
    </row>
    <row r="136" spans="1:11" ht="73.5" hidden="1" customHeight="1" x14ac:dyDescent="0.45">
      <c r="A136" s="1063"/>
      <c r="B136" s="1062" t="str">
        <f>IF('LAMPIRAN III DONE'!C151=0,"",'LAMPIRAN III DONE'!C151)</f>
        <v/>
      </c>
      <c r="C136" s="1062"/>
      <c r="D136" s="1063"/>
      <c r="E136" s="1065"/>
      <c r="F136" s="1067"/>
      <c r="G136" s="1061"/>
      <c r="H136" s="1067"/>
      <c r="I136" s="1061"/>
      <c r="J136" s="1067"/>
      <c r="K136" s="1061"/>
    </row>
    <row r="137" spans="1:11" ht="15" hidden="1" customHeight="1" x14ac:dyDescent="0.45">
      <c r="A137" s="1063">
        <v>60</v>
      </c>
      <c r="B137" s="1062" t="str">
        <f>IF('LAMPIRAN III DONE'!C152=0,"",'LAMPIRAN III DONE'!C152)</f>
        <v/>
      </c>
      <c r="C137" s="1062"/>
      <c r="D137" s="1063">
        <f>'LAMPIRAN III DONE'!N152</f>
        <v>0</v>
      </c>
      <c r="E137" s="1064">
        <f>'LAMPIRAN III DONE'!E184</f>
        <v>0</v>
      </c>
      <c r="F137" s="1066"/>
      <c r="G137" s="1060">
        <f>F137/100*D137</f>
        <v>0</v>
      </c>
      <c r="H137" s="1066"/>
      <c r="I137" s="1060">
        <f>H137/100*D137</f>
        <v>0</v>
      </c>
      <c r="J137" s="1066">
        <f t="shared" ref="J137" si="58">(F137+H137)/2</f>
        <v>0</v>
      </c>
      <c r="K137" s="1060">
        <f>(J137/100)*D137</f>
        <v>0</v>
      </c>
    </row>
    <row r="138" spans="1:11" ht="75.75" hidden="1" customHeight="1" x14ac:dyDescent="0.45">
      <c r="A138" s="1063"/>
      <c r="B138" s="1062" t="str">
        <f>IF('LAMPIRAN III DONE'!C153=0,"",'LAMPIRAN III DONE'!C153)</f>
        <v/>
      </c>
      <c r="C138" s="1062"/>
      <c r="D138" s="1063"/>
      <c r="E138" s="1065"/>
      <c r="F138" s="1067"/>
      <c r="G138" s="1061"/>
      <c r="H138" s="1067"/>
      <c r="I138" s="1061"/>
      <c r="J138" s="1067"/>
      <c r="K138" s="1061"/>
    </row>
    <row r="139" spans="1:11" ht="15.75" customHeight="1" x14ac:dyDescent="0.45">
      <c r="A139" s="543"/>
      <c r="B139" s="566"/>
      <c r="C139" s="1072" t="s">
        <v>16</v>
      </c>
      <c r="D139" s="1072">
        <f>SUM(D58:D138)+D54+SUM(D12:D36)</f>
        <v>63.135000000000005</v>
      </c>
      <c r="E139" s="116"/>
      <c r="F139" s="567"/>
      <c r="G139" s="116"/>
      <c r="H139" s="116"/>
      <c r="I139" s="116"/>
      <c r="J139" s="116"/>
      <c r="K139" s="1074" t="e">
        <f>SUM(K12:K138)</f>
        <v>#REF!</v>
      </c>
    </row>
    <row r="140" spans="1:11" ht="15" customHeight="1" x14ac:dyDescent="0.45">
      <c r="A140" s="568"/>
      <c r="B140" s="569"/>
      <c r="C140" s="1073"/>
      <c r="D140" s="1073"/>
      <c r="E140" s="570"/>
      <c r="F140" s="571"/>
      <c r="G140" s="570"/>
      <c r="H140" s="570"/>
      <c r="I140" s="570"/>
      <c r="J140" s="570"/>
      <c r="K140" s="1074"/>
    </row>
    <row r="141" spans="1:11" x14ac:dyDescent="0.45">
      <c r="A141" s="532"/>
      <c r="E141" s="7"/>
      <c r="F141" s="7"/>
      <c r="G141" s="7"/>
      <c r="H141" s="7"/>
      <c r="I141" s="7"/>
      <c r="J141" s="7"/>
      <c r="K141" s="7"/>
    </row>
    <row r="142" spans="1:11" x14ac:dyDescent="0.45">
      <c r="E142" s="1070" t="s">
        <v>634</v>
      </c>
      <c r="F142" s="1070"/>
      <c r="G142" s="1070"/>
      <c r="H142" s="1070"/>
      <c r="I142" s="1070"/>
      <c r="J142" s="1070"/>
      <c r="K142" s="1070"/>
    </row>
    <row r="143" spans="1:11" x14ac:dyDescent="0.45">
      <c r="E143" s="1071" t="s">
        <v>635</v>
      </c>
      <c r="F143" s="1071"/>
      <c r="G143" s="1071"/>
      <c r="H143" s="1071"/>
      <c r="I143" s="1071"/>
      <c r="J143" s="1071"/>
      <c r="K143" s="1071"/>
    </row>
    <row r="144" spans="1:11" x14ac:dyDescent="0.45">
      <c r="D144">
        <f>D54*2</f>
        <v>3</v>
      </c>
      <c r="E144" s="987" t="s">
        <v>636</v>
      </c>
      <c r="F144" s="987"/>
      <c r="G144" s="987"/>
      <c r="H144" s="987"/>
      <c r="I144" s="987"/>
      <c r="J144" s="987"/>
      <c r="K144" s="987"/>
    </row>
    <row r="145" spans="5:11" x14ac:dyDescent="0.45">
      <c r="E145" s="11"/>
      <c r="F145" s="11"/>
      <c r="G145" s="11"/>
      <c r="H145" s="11"/>
      <c r="I145" s="11"/>
      <c r="J145" s="11"/>
      <c r="K145" s="11"/>
    </row>
    <row r="146" spans="5:11" x14ac:dyDescent="0.45">
      <c r="E146"/>
      <c r="F146"/>
      <c r="G146"/>
      <c r="H146"/>
      <c r="I146"/>
      <c r="J146"/>
      <c r="K146"/>
    </row>
    <row r="147" spans="5:11" ht="8.25" customHeight="1" x14ac:dyDescent="0.45">
      <c r="E147"/>
      <c r="F147"/>
      <c r="G147"/>
      <c r="H147"/>
      <c r="I147"/>
      <c r="J147"/>
      <c r="K147"/>
    </row>
    <row r="148" spans="5:11" x14ac:dyDescent="0.45">
      <c r="E148"/>
      <c r="F148"/>
      <c r="G148"/>
      <c r="H148"/>
      <c r="I148"/>
      <c r="J148"/>
      <c r="K148"/>
    </row>
    <row r="149" spans="5:11" x14ac:dyDescent="0.45">
      <c r="E149" s="987" t="s">
        <v>637</v>
      </c>
      <c r="F149" s="987"/>
      <c r="G149" s="987"/>
      <c r="H149" s="987"/>
      <c r="I149" s="987"/>
      <c r="J149" s="987"/>
      <c r="K149" s="987"/>
    </row>
    <row r="152" spans="5:11" x14ac:dyDescent="0.45">
      <c r="E152"/>
      <c r="F152"/>
      <c r="G152"/>
      <c r="H152"/>
      <c r="I152"/>
      <c r="J152"/>
      <c r="K152"/>
    </row>
    <row r="153" spans="5:11" x14ac:dyDescent="0.45">
      <c r="E153"/>
      <c r="F153"/>
      <c r="G153"/>
      <c r="H153"/>
      <c r="I153"/>
      <c r="J153"/>
      <c r="K153"/>
    </row>
    <row r="154" spans="5:11" x14ac:dyDescent="0.45">
      <c r="E154"/>
      <c r="F154"/>
      <c r="G154"/>
      <c r="H154"/>
      <c r="I154"/>
      <c r="J154"/>
      <c r="K154"/>
    </row>
    <row r="155" spans="5:11" x14ac:dyDescent="0.45">
      <c r="E155"/>
      <c r="F155"/>
      <c r="G155"/>
      <c r="H155"/>
      <c r="I155"/>
      <c r="J155"/>
      <c r="K155"/>
    </row>
  </sheetData>
  <mergeCells count="688">
    <mergeCell ref="N8:T10"/>
    <mergeCell ref="A32:C32"/>
    <mergeCell ref="A11:C11"/>
    <mergeCell ref="A53:C53"/>
    <mergeCell ref="A74:C74"/>
    <mergeCell ref="A95:C95"/>
    <mergeCell ref="A106:C106"/>
    <mergeCell ref="A117:C117"/>
    <mergeCell ref="B7:C7"/>
    <mergeCell ref="D7:K7"/>
    <mergeCell ref="B8:C8"/>
    <mergeCell ref="D8:K8"/>
    <mergeCell ref="A9:K9"/>
    <mergeCell ref="B10:C10"/>
    <mergeCell ref="J12:J13"/>
    <mergeCell ref="K12:K13"/>
    <mergeCell ref="B13:C13"/>
    <mergeCell ref="G12:G13"/>
    <mergeCell ref="A18:A19"/>
    <mergeCell ref="B18:C18"/>
    <mergeCell ref="D18:D19"/>
    <mergeCell ref="E18:E19"/>
    <mergeCell ref="F18:F19"/>
    <mergeCell ref="A16:A17"/>
    <mergeCell ref="A3:K3"/>
    <mergeCell ref="A4:K4"/>
    <mergeCell ref="B5:C5"/>
    <mergeCell ref="D5:K5"/>
    <mergeCell ref="B6:C6"/>
    <mergeCell ref="D6:K6"/>
    <mergeCell ref="A14:A15"/>
    <mergeCell ref="B14:C14"/>
    <mergeCell ref="D14:D15"/>
    <mergeCell ref="E14:E15"/>
    <mergeCell ref="F14:F15"/>
    <mergeCell ref="A12:A13"/>
    <mergeCell ref="B12:C12"/>
    <mergeCell ref="D12:D13"/>
    <mergeCell ref="E12:E13"/>
    <mergeCell ref="F12:F13"/>
    <mergeCell ref="G14:G15"/>
    <mergeCell ref="H14:H15"/>
    <mergeCell ref="I14:I15"/>
    <mergeCell ref="J14:J15"/>
    <mergeCell ref="K14:K15"/>
    <mergeCell ref="B15:C15"/>
    <mergeCell ref="H12:H13"/>
    <mergeCell ref="I12:I13"/>
    <mergeCell ref="B16:C16"/>
    <mergeCell ref="D16:D17"/>
    <mergeCell ref="E16:E17"/>
    <mergeCell ref="F16:F17"/>
    <mergeCell ref="G18:G19"/>
    <mergeCell ref="H18:H19"/>
    <mergeCell ref="I18:I19"/>
    <mergeCell ref="J18:J19"/>
    <mergeCell ref="K18:K19"/>
    <mergeCell ref="B19:C19"/>
    <mergeCell ref="H16:H17"/>
    <mergeCell ref="I16:I17"/>
    <mergeCell ref="J16:J17"/>
    <mergeCell ref="K16:K17"/>
    <mergeCell ref="B17:C17"/>
    <mergeCell ref="G16:G17"/>
    <mergeCell ref="A22:A23"/>
    <mergeCell ref="B22:C22"/>
    <mergeCell ref="D22:D23"/>
    <mergeCell ref="E22:E23"/>
    <mergeCell ref="F22:F23"/>
    <mergeCell ref="A20:A21"/>
    <mergeCell ref="B20:C20"/>
    <mergeCell ref="D20:D21"/>
    <mergeCell ref="E20:E21"/>
    <mergeCell ref="F20:F21"/>
    <mergeCell ref="G22:G23"/>
    <mergeCell ref="H22:H23"/>
    <mergeCell ref="I22:I23"/>
    <mergeCell ref="J22:J23"/>
    <mergeCell ref="K22:K23"/>
    <mergeCell ref="B23:C23"/>
    <mergeCell ref="H20:H21"/>
    <mergeCell ref="I20:I21"/>
    <mergeCell ref="J20:J21"/>
    <mergeCell ref="K20:K21"/>
    <mergeCell ref="B21:C21"/>
    <mergeCell ref="G20:G21"/>
    <mergeCell ref="A26:A27"/>
    <mergeCell ref="B26:C26"/>
    <mergeCell ref="D26:D27"/>
    <mergeCell ref="E26:E27"/>
    <mergeCell ref="F26:F27"/>
    <mergeCell ref="A24:A25"/>
    <mergeCell ref="B24:C24"/>
    <mergeCell ref="D24:D25"/>
    <mergeCell ref="E24:E25"/>
    <mergeCell ref="F24:F25"/>
    <mergeCell ref="G26:G27"/>
    <mergeCell ref="H26:H27"/>
    <mergeCell ref="I26:I27"/>
    <mergeCell ref="J26:J27"/>
    <mergeCell ref="K26:K27"/>
    <mergeCell ref="B27:C27"/>
    <mergeCell ref="H24:H25"/>
    <mergeCell ref="I24:I25"/>
    <mergeCell ref="J24:J25"/>
    <mergeCell ref="K24:K25"/>
    <mergeCell ref="B25:C25"/>
    <mergeCell ref="G24:G25"/>
    <mergeCell ref="A30:A31"/>
    <mergeCell ref="B30:C30"/>
    <mergeCell ref="D30:D31"/>
    <mergeCell ref="E30:E31"/>
    <mergeCell ref="F30:F31"/>
    <mergeCell ref="A28:A29"/>
    <mergeCell ref="B28:C28"/>
    <mergeCell ref="D28:D29"/>
    <mergeCell ref="E28:E29"/>
    <mergeCell ref="F28:F29"/>
    <mergeCell ref="G30:G31"/>
    <mergeCell ref="H30:H31"/>
    <mergeCell ref="I30:I31"/>
    <mergeCell ref="J30:J31"/>
    <mergeCell ref="K30:K31"/>
    <mergeCell ref="B31:C31"/>
    <mergeCell ref="H28:H29"/>
    <mergeCell ref="I28:I29"/>
    <mergeCell ref="J28:J29"/>
    <mergeCell ref="K28:K29"/>
    <mergeCell ref="B29:C29"/>
    <mergeCell ref="G28:G29"/>
    <mergeCell ref="A35:A36"/>
    <mergeCell ref="B35:C35"/>
    <mergeCell ref="D35:D36"/>
    <mergeCell ref="E35:E36"/>
    <mergeCell ref="F35:F36"/>
    <mergeCell ref="A33:A34"/>
    <mergeCell ref="B33:C33"/>
    <mergeCell ref="D33:D34"/>
    <mergeCell ref="E33:E34"/>
    <mergeCell ref="F33:F34"/>
    <mergeCell ref="G35:G36"/>
    <mergeCell ref="H35:H36"/>
    <mergeCell ref="I35:I36"/>
    <mergeCell ref="J35:J36"/>
    <mergeCell ref="K35:K36"/>
    <mergeCell ref="B36:C36"/>
    <mergeCell ref="H33:H34"/>
    <mergeCell ref="I33:I34"/>
    <mergeCell ref="J33:J34"/>
    <mergeCell ref="K33:K34"/>
    <mergeCell ref="B34:C34"/>
    <mergeCell ref="G33:G34"/>
    <mergeCell ref="A39:A40"/>
    <mergeCell ref="B39:C39"/>
    <mergeCell ref="D39:D40"/>
    <mergeCell ref="E39:E40"/>
    <mergeCell ref="F39:F40"/>
    <mergeCell ref="A37:A38"/>
    <mergeCell ref="B37:C37"/>
    <mergeCell ref="D37:D38"/>
    <mergeCell ref="E37:E38"/>
    <mergeCell ref="F37:F38"/>
    <mergeCell ref="G39:G40"/>
    <mergeCell ref="H39:H40"/>
    <mergeCell ref="I39:I40"/>
    <mergeCell ref="J39:J40"/>
    <mergeCell ref="K39:K40"/>
    <mergeCell ref="B40:C40"/>
    <mergeCell ref="H37:H38"/>
    <mergeCell ref="I37:I38"/>
    <mergeCell ref="J37:J38"/>
    <mergeCell ref="K37:K38"/>
    <mergeCell ref="B38:C38"/>
    <mergeCell ref="G37:G38"/>
    <mergeCell ref="A43:A44"/>
    <mergeCell ref="B43:C43"/>
    <mergeCell ref="D43:D44"/>
    <mergeCell ref="E43:E44"/>
    <mergeCell ref="F43:F44"/>
    <mergeCell ref="A41:A42"/>
    <mergeCell ref="B41:C41"/>
    <mergeCell ref="D41:D42"/>
    <mergeCell ref="E41:E42"/>
    <mergeCell ref="F41:F42"/>
    <mergeCell ref="G43:G44"/>
    <mergeCell ref="H43:H44"/>
    <mergeCell ref="I43:I44"/>
    <mergeCell ref="J43:J44"/>
    <mergeCell ref="K43:K44"/>
    <mergeCell ref="B44:C44"/>
    <mergeCell ref="H41:H42"/>
    <mergeCell ref="I41:I42"/>
    <mergeCell ref="J41:J42"/>
    <mergeCell ref="K41:K42"/>
    <mergeCell ref="B42:C42"/>
    <mergeCell ref="G41:G42"/>
    <mergeCell ref="A47:A48"/>
    <mergeCell ref="B47:C47"/>
    <mergeCell ref="D47:D48"/>
    <mergeCell ref="E47:E48"/>
    <mergeCell ref="F47:F48"/>
    <mergeCell ref="A45:A46"/>
    <mergeCell ref="B45:C45"/>
    <mergeCell ref="D45:D46"/>
    <mergeCell ref="E45:E46"/>
    <mergeCell ref="F45:F46"/>
    <mergeCell ref="G47:G48"/>
    <mergeCell ref="H47:H48"/>
    <mergeCell ref="I47:I48"/>
    <mergeCell ref="J47:J48"/>
    <mergeCell ref="K47:K48"/>
    <mergeCell ref="B48:C48"/>
    <mergeCell ref="H45:H46"/>
    <mergeCell ref="I45:I46"/>
    <mergeCell ref="J45:J46"/>
    <mergeCell ref="K45:K46"/>
    <mergeCell ref="B46:C46"/>
    <mergeCell ref="G45:G46"/>
    <mergeCell ref="A51:A52"/>
    <mergeCell ref="B51:C51"/>
    <mergeCell ref="D51:D52"/>
    <mergeCell ref="E51:E52"/>
    <mergeCell ref="F51:F52"/>
    <mergeCell ref="A49:A50"/>
    <mergeCell ref="B49:C49"/>
    <mergeCell ref="D49:D50"/>
    <mergeCell ref="E49:E50"/>
    <mergeCell ref="F49:F50"/>
    <mergeCell ref="G51:G52"/>
    <mergeCell ref="H51:H52"/>
    <mergeCell ref="I51:I52"/>
    <mergeCell ref="J51:J52"/>
    <mergeCell ref="K51:K52"/>
    <mergeCell ref="B52:C52"/>
    <mergeCell ref="H49:H50"/>
    <mergeCell ref="I49:I50"/>
    <mergeCell ref="J49:J50"/>
    <mergeCell ref="K49:K50"/>
    <mergeCell ref="B50:C50"/>
    <mergeCell ref="G49:G50"/>
    <mergeCell ref="A56:A57"/>
    <mergeCell ref="B56:C56"/>
    <mergeCell ref="D56:D57"/>
    <mergeCell ref="E56:E57"/>
    <mergeCell ref="F56:F57"/>
    <mergeCell ref="A54:A55"/>
    <mergeCell ref="B54:C54"/>
    <mergeCell ref="D54:D55"/>
    <mergeCell ref="E54:E55"/>
    <mergeCell ref="F54:F55"/>
    <mergeCell ref="G56:G57"/>
    <mergeCell ref="H56:H57"/>
    <mergeCell ref="I56:I57"/>
    <mergeCell ref="J56:J57"/>
    <mergeCell ref="K56:K57"/>
    <mergeCell ref="B57:C57"/>
    <mergeCell ref="H54:H55"/>
    <mergeCell ref="I54:I55"/>
    <mergeCell ref="J54:J55"/>
    <mergeCell ref="K54:K55"/>
    <mergeCell ref="B55:C55"/>
    <mergeCell ref="G54:G55"/>
    <mergeCell ref="A60:A61"/>
    <mergeCell ref="B60:C60"/>
    <mergeCell ref="D60:D61"/>
    <mergeCell ref="E60:E61"/>
    <mergeCell ref="F60:F61"/>
    <mergeCell ref="A58:A59"/>
    <mergeCell ref="B58:C58"/>
    <mergeCell ref="D58:D59"/>
    <mergeCell ref="E58:E59"/>
    <mergeCell ref="F58:F59"/>
    <mergeCell ref="G60:G61"/>
    <mergeCell ref="H60:H61"/>
    <mergeCell ref="I60:I61"/>
    <mergeCell ref="J60:J61"/>
    <mergeCell ref="K60:K61"/>
    <mergeCell ref="B61:C61"/>
    <mergeCell ref="H58:H59"/>
    <mergeCell ref="I58:I59"/>
    <mergeCell ref="J58:J59"/>
    <mergeCell ref="K58:K59"/>
    <mergeCell ref="B59:C59"/>
    <mergeCell ref="G58:G59"/>
    <mergeCell ref="A64:A65"/>
    <mergeCell ref="B64:C64"/>
    <mergeCell ref="D64:D65"/>
    <mergeCell ref="E64:E65"/>
    <mergeCell ref="F64:F65"/>
    <mergeCell ref="A62:A63"/>
    <mergeCell ref="B62:C62"/>
    <mergeCell ref="D62:D63"/>
    <mergeCell ref="E62:E63"/>
    <mergeCell ref="F62:F63"/>
    <mergeCell ref="G64:G65"/>
    <mergeCell ref="H64:H65"/>
    <mergeCell ref="I64:I65"/>
    <mergeCell ref="J64:J65"/>
    <mergeCell ref="K64:K65"/>
    <mergeCell ref="B65:C65"/>
    <mergeCell ref="H62:H63"/>
    <mergeCell ref="I62:I63"/>
    <mergeCell ref="J62:J63"/>
    <mergeCell ref="K62:K63"/>
    <mergeCell ref="B63:C63"/>
    <mergeCell ref="G62:G63"/>
    <mergeCell ref="A68:A69"/>
    <mergeCell ref="B68:C68"/>
    <mergeCell ref="D68:D69"/>
    <mergeCell ref="E68:E69"/>
    <mergeCell ref="F68:F69"/>
    <mergeCell ref="A66:A67"/>
    <mergeCell ref="B66:C66"/>
    <mergeCell ref="D66:D67"/>
    <mergeCell ref="E66:E67"/>
    <mergeCell ref="F66:F67"/>
    <mergeCell ref="G68:G69"/>
    <mergeCell ref="H68:H69"/>
    <mergeCell ref="I68:I69"/>
    <mergeCell ref="J68:J69"/>
    <mergeCell ref="K68:K69"/>
    <mergeCell ref="B69:C69"/>
    <mergeCell ref="H66:H67"/>
    <mergeCell ref="I66:I67"/>
    <mergeCell ref="J66:J67"/>
    <mergeCell ref="K66:K67"/>
    <mergeCell ref="B67:C67"/>
    <mergeCell ref="G66:G67"/>
    <mergeCell ref="A72:A73"/>
    <mergeCell ref="B72:C72"/>
    <mergeCell ref="D72:D73"/>
    <mergeCell ref="E72:E73"/>
    <mergeCell ref="F72:F73"/>
    <mergeCell ref="A70:A71"/>
    <mergeCell ref="B70:C70"/>
    <mergeCell ref="D70:D71"/>
    <mergeCell ref="E70:E71"/>
    <mergeCell ref="F70:F71"/>
    <mergeCell ref="G72:G73"/>
    <mergeCell ref="H72:H73"/>
    <mergeCell ref="I72:I73"/>
    <mergeCell ref="J72:J73"/>
    <mergeCell ref="K72:K73"/>
    <mergeCell ref="B73:C73"/>
    <mergeCell ref="H70:H71"/>
    <mergeCell ref="I70:I71"/>
    <mergeCell ref="J70:J71"/>
    <mergeCell ref="K70:K71"/>
    <mergeCell ref="B71:C71"/>
    <mergeCell ref="G70:G71"/>
    <mergeCell ref="A77:A78"/>
    <mergeCell ref="B77:C77"/>
    <mergeCell ref="D77:D78"/>
    <mergeCell ref="E77:E78"/>
    <mergeCell ref="F77:F78"/>
    <mergeCell ref="A75:A76"/>
    <mergeCell ref="B75:C75"/>
    <mergeCell ref="D75:D76"/>
    <mergeCell ref="E75:E76"/>
    <mergeCell ref="F75:F76"/>
    <mergeCell ref="G77:G78"/>
    <mergeCell ref="H77:H78"/>
    <mergeCell ref="I77:I78"/>
    <mergeCell ref="J77:J78"/>
    <mergeCell ref="K77:K78"/>
    <mergeCell ref="B78:C78"/>
    <mergeCell ref="H75:H76"/>
    <mergeCell ref="I75:I76"/>
    <mergeCell ref="J75:J76"/>
    <mergeCell ref="K75:K76"/>
    <mergeCell ref="B76:C76"/>
    <mergeCell ref="G75:G76"/>
    <mergeCell ref="A81:A82"/>
    <mergeCell ref="B81:C81"/>
    <mergeCell ref="D81:D82"/>
    <mergeCell ref="E81:E82"/>
    <mergeCell ref="F81:F82"/>
    <mergeCell ref="A79:A80"/>
    <mergeCell ref="B79:C79"/>
    <mergeCell ref="D79:D80"/>
    <mergeCell ref="E79:E80"/>
    <mergeCell ref="F79:F80"/>
    <mergeCell ref="G81:G82"/>
    <mergeCell ref="H81:H82"/>
    <mergeCell ref="I81:I82"/>
    <mergeCell ref="J81:J82"/>
    <mergeCell ref="K81:K82"/>
    <mergeCell ref="B82:C82"/>
    <mergeCell ref="H79:H80"/>
    <mergeCell ref="I79:I80"/>
    <mergeCell ref="J79:J80"/>
    <mergeCell ref="K79:K80"/>
    <mergeCell ref="B80:C80"/>
    <mergeCell ref="G79:G80"/>
    <mergeCell ref="A85:A86"/>
    <mergeCell ref="B85:C85"/>
    <mergeCell ref="D85:D86"/>
    <mergeCell ref="E85:E86"/>
    <mergeCell ref="F85:F86"/>
    <mergeCell ref="A83:A84"/>
    <mergeCell ref="B83:C83"/>
    <mergeCell ref="D83:D84"/>
    <mergeCell ref="E83:E84"/>
    <mergeCell ref="F83:F84"/>
    <mergeCell ref="G85:G86"/>
    <mergeCell ref="H85:H86"/>
    <mergeCell ref="I85:I86"/>
    <mergeCell ref="J85:J86"/>
    <mergeCell ref="K85:K86"/>
    <mergeCell ref="B86:C86"/>
    <mergeCell ref="H83:H84"/>
    <mergeCell ref="I83:I84"/>
    <mergeCell ref="J83:J84"/>
    <mergeCell ref="K83:K84"/>
    <mergeCell ref="B84:C84"/>
    <mergeCell ref="G83:G84"/>
    <mergeCell ref="A89:A90"/>
    <mergeCell ref="B89:C89"/>
    <mergeCell ref="D89:D90"/>
    <mergeCell ref="E89:E90"/>
    <mergeCell ref="F89:F90"/>
    <mergeCell ref="A87:A88"/>
    <mergeCell ref="B87:C87"/>
    <mergeCell ref="D87:D88"/>
    <mergeCell ref="E87:E88"/>
    <mergeCell ref="F87:F88"/>
    <mergeCell ref="G89:G90"/>
    <mergeCell ref="H89:H90"/>
    <mergeCell ref="I89:I90"/>
    <mergeCell ref="J89:J90"/>
    <mergeCell ref="K89:K90"/>
    <mergeCell ref="B90:C90"/>
    <mergeCell ref="H87:H88"/>
    <mergeCell ref="I87:I88"/>
    <mergeCell ref="J87:J88"/>
    <mergeCell ref="K87:K88"/>
    <mergeCell ref="B88:C88"/>
    <mergeCell ref="G87:G88"/>
    <mergeCell ref="A93:A94"/>
    <mergeCell ref="B93:C93"/>
    <mergeCell ref="D93:D94"/>
    <mergeCell ref="E93:E94"/>
    <mergeCell ref="F93:F94"/>
    <mergeCell ref="A91:A92"/>
    <mergeCell ref="B91:C91"/>
    <mergeCell ref="D91:D92"/>
    <mergeCell ref="E91:E92"/>
    <mergeCell ref="F91:F92"/>
    <mergeCell ref="G93:G94"/>
    <mergeCell ref="H93:H94"/>
    <mergeCell ref="I93:I94"/>
    <mergeCell ref="J93:J94"/>
    <mergeCell ref="K93:K94"/>
    <mergeCell ref="B94:C94"/>
    <mergeCell ref="H91:H92"/>
    <mergeCell ref="I91:I92"/>
    <mergeCell ref="J91:J92"/>
    <mergeCell ref="K91:K92"/>
    <mergeCell ref="B92:C92"/>
    <mergeCell ref="G91:G92"/>
    <mergeCell ref="A98:A99"/>
    <mergeCell ref="B98:C98"/>
    <mergeCell ref="D98:D99"/>
    <mergeCell ref="E98:E99"/>
    <mergeCell ref="F98:F99"/>
    <mergeCell ref="A96:A97"/>
    <mergeCell ref="B96:C96"/>
    <mergeCell ref="D96:D97"/>
    <mergeCell ref="E96:E97"/>
    <mergeCell ref="F96:F97"/>
    <mergeCell ref="G98:G99"/>
    <mergeCell ref="H98:H99"/>
    <mergeCell ref="I98:I99"/>
    <mergeCell ref="J98:J99"/>
    <mergeCell ref="K98:K99"/>
    <mergeCell ref="B99:C99"/>
    <mergeCell ref="H96:H97"/>
    <mergeCell ref="I96:I97"/>
    <mergeCell ref="J96:J97"/>
    <mergeCell ref="K96:K97"/>
    <mergeCell ref="B97:C97"/>
    <mergeCell ref="G96:G97"/>
    <mergeCell ref="A102:A103"/>
    <mergeCell ref="B102:C102"/>
    <mergeCell ref="D102:D103"/>
    <mergeCell ref="E102:E103"/>
    <mergeCell ref="F102:F103"/>
    <mergeCell ref="A100:A101"/>
    <mergeCell ref="B100:C100"/>
    <mergeCell ref="D100:D101"/>
    <mergeCell ref="E100:E101"/>
    <mergeCell ref="F100:F101"/>
    <mergeCell ref="G102:G103"/>
    <mergeCell ref="H102:H103"/>
    <mergeCell ref="I102:I103"/>
    <mergeCell ref="J102:J103"/>
    <mergeCell ref="K102:K103"/>
    <mergeCell ref="B103:C103"/>
    <mergeCell ref="H100:H101"/>
    <mergeCell ref="I100:I101"/>
    <mergeCell ref="J100:J101"/>
    <mergeCell ref="K100:K101"/>
    <mergeCell ref="B101:C101"/>
    <mergeCell ref="G100:G101"/>
    <mergeCell ref="A107:A108"/>
    <mergeCell ref="B107:C107"/>
    <mergeCell ref="D107:D108"/>
    <mergeCell ref="E107:E108"/>
    <mergeCell ref="F107:F108"/>
    <mergeCell ref="A104:A105"/>
    <mergeCell ref="B104:C104"/>
    <mergeCell ref="D104:D105"/>
    <mergeCell ref="E104:E105"/>
    <mergeCell ref="F104:F105"/>
    <mergeCell ref="G107:G108"/>
    <mergeCell ref="H107:H108"/>
    <mergeCell ref="I107:I108"/>
    <mergeCell ref="J107:J108"/>
    <mergeCell ref="K107:K108"/>
    <mergeCell ref="B108:C108"/>
    <mergeCell ref="H104:H105"/>
    <mergeCell ref="I104:I105"/>
    <mergeCell ref="J104:J105"/>
    <mergeCell ref="K104:K105"/>
    <mergeCell ref="B105:C105"/>
    <mergeCell ref="G104:G105"/>
    <mergeCell ref="H109:H110"/>
    <mergeCell ref="I109:I110"/>
    <mergeCell ref="J109:J110"/>
    <mergeCell ref="K109:K110"/>
    <mergeCell ref="B110:C110"/>
    <mergeCell ref="A115:A116"/>
    <mergeCell ref="B115:C115"/>
    <mergeCell ref="D115:D116"/>
    <mergeCell ref="E115:E116"/>
    <mergeCell ref="F115:F116"/>
    <mergeCell ref="A109:A110"/>
    <mergeCell ref="B109:C109"/>
    <mergeCell ref="D109:D110"/>
    <mergeCell ref="E109:E110"/>
    <mergeCell ref="F109:F110"/>
    <mergeCell ref="G109:G110"/>
    <mergeCell ref="B114:C114"/>
    <mergeCell ref="A111:A112"/>
    <mergeCell ref="B111:C111"/>
    <mergeCell ref="D111:D112"/>
    <mergeCell ref="E111:E112"/>
    <mergeCell ref="F111:F112"/>
    <mergeCell ref="G111:G112"/>
    <mergeCell ref="H111:H112"/>
    <mergeCell ref="A118:A119"/>
    <mergeCell ref="B118:C118"/>
    <mergeCell ref="D118:D119"/>
    <mergeCell ref="E118:E119"/>
    <mergeCell ref="F118:F119"/>
    <mergeCell ref="G118:G119"/>
    <mergeCell ref="H118:H119"/>
    <mergeCell ref="I118:I119"/>
    <mergeCell ref="A120:A121"/>
    <mergeCell ref="B120:C120"/>
    <mergeCell ref="D120:D121"/>
    <mergeCell ref="E120:E121"/>
    <mergeCell ref="F120:F121"/>
    <mergeCell ref="G120:G121"/>
    <mergeCell ref="H120:H121"/>
    <mergeCell ref="E142:K142"/>
    <mergeCell ref="E143:K143"/>
    <mergeCell ref="E144:K144"/>
    <mergeCell ref="E149:K149"/>
    <mergeCell ref="C139:C140"/>
    <mergeCell ref="D139:D140"/>
    <mergeCell ref="K139:K140"/>
    <mergeCell ref="G115:G116"/>
    <mergeCell ref="H115:H116"/>
    <mergeCell ref="I115:I116"/>
    <mergeCell ref="J115:J116"/>
    <mergeCell ref="K115:K116"/>
    <mergeCell ref="B116:C116"/>
    <mergeCell ref="J118:J119"/>
    <mergeCell ref="K118:K119"/>
    <mergeCell ref="B119:C119"/>
    <mergeCell ref="I120:I121"/>
    <mergeCell ref="J120:J121"/>
    <mergeCell ref="K120:K121"/>
    <mergeCell ref="B121:C121"/>
    <mergeCell ref="K135:K136"/>
    <mergeCell ref="B136:C136"/>
    <mergeCell ref="K137:K138"/>
    <mergeCell ref="K131:K132"/>
    <mergeCell ref="I111:I112"/>
    <mergeCell ref="J111:J112"/>
    <mergeCell ref="K111:K112"/>
    <mergeCell ref="B112:C112"/>
    <mergeCell ref="A113:A114"/>
    <mergeCell ref="B113:C113"/>
    <mergeCell ref="D113:D114"/>
    <mergeCell ref="E113:E114"/>
    <mergeCell ref="F113:F114"/>
    <mergeCell ref="G113:G114"/>
    <mergeCell ref="H113:H114"/>
    <mergeCell ref="I113:I114"/>
    <mergeCell ref="J113:J114"/>
    <mergeCell ref="K113:K114"/>
    <mergeCell ref="A137:A138"/>
    <mergeCell ref="B137:C137"/>
    <mergeCell ref="D137:D138"/>
    <mergeCell ref="E137:E138"/>
    <mergeCell ref="F137:F138"/>
    <mergeCell ref="G137:G138"/>
    <mergeCell ref="H137:H138"/>
    <mergeCell ref="I137:I138"/>
    <mergeCell ref="J137:J138"/>
    <mergeCell ref="B138:C138"/>
    <mergeCell ref="A135:A136"/>
    <mergeCell ref="B135:C135"/>
    <mergeCell ref="D135:D136"/>
    <mergeCell ref="E135:E136"/>
    <mergeCell ref="F135:F136"/>
    <mergeCell ref="G135:G136"/>
    <mergeCell ref="H135:H136"/>
    <mergeCell ref="I135:I136"/>
    <mergeCell ref="J135:J136"/>
    <mergeCell ref="J133:J134"/>
    <mergeCell ref="K133:K134"/>
    <mergeCell ref="B134:C134"/>
    <mergeCell ref="A131:A132"/>
    <mergeCell ref="B131:C131"/>
    <mergeCell ref="D131:D132"/>
    <mergeCell ref="E131:E132"/>
    <mergeCell ref="F131:F132"/>
    <mergeCell ref="G131:G132"/>
    <mergeCell ref="H131:H132"/>
    <mergeCell ref="I131:I132"/>
    <mergeCell ref="J131:J132"/>
    <mergeCell ref="B132:C132"/>
    <mergeCell ref="A133:A134"/>
    <mergeCell ref="B133:C133"/>
    <mergeCell ref="D133:D134"/>
    <mergeCell ref="E133:E134"/>
    <mergeCell ref="F133:F134"/>
    <mergeCell ref="G133:G134"/>
    <mergeCell ref="H133:H134"/>
    <mergeCell ref="I133:I134"/>
    <mergeCell ref="K126:K127"/>
    <mergeCell ref="B127:C127"/>
    <mergeCell ref="A129:A130"/>
    <mergeCell ref="B129:C129"/>
    <mergeCell ref="D129:D130"/>
    <mergeCell ref="E129:E130"/>
    <mergeCell ref="F129:F130"/>
    <mergeCell ref="G129:G130"/>
    <mergeCell ref="H129:H130"/>
    <mergeCell ref="I129:I130"/>
    <mergeCell ref="J129:J130"/>
    <mergeCell ref="K129:K130"/>
    <mergeCell ref="B130:C130"/>
    <mergeCell ref="A126:A127"/>
    <mergeCell ref="B126:C126"/>
    <mergeCell ref="D126:D127"/>
    <mergeCell ref="E126:E127"/>
    <mergeCell ref="F126:F127"/>
    <mergeCell ref="G126:G127"/>
    <mergeCell ref="H126:H127"/>
    <mergeCell ref="I126:I127"/>
    <mergeCell ref="J126:J127"/>
    <mergeCell ref="A128:C128"/>
    <mergeCell ref="K122:K123"/>
    <mergeCell ref="B123:C123"/>
    <mergeCell ref="A124:A125"/>
    <mergeCell ref="B124:C124"/>
    <mergeCell ref="D124:D125"/>
    <mergeCell ref="E124:E125"/>
    <mergeCell ref="F124:F125"/>
    <mergeCell ref="G124:G125"/>
    <mergeCell ref="H124:H125"/>
    <mergeCell ref="I124:I125"/>
    <mergeCell ref="J124:J125"/>
    <mergeCell ref="K124:K125"/>
    <mergeCell ref="B125:C125"/>
    <mergeCell ref="A122:A123"/>
    <mergeCell ref="B122:C122"/>
    <mergeCell ref="D122:D123"/>
    <mergeCell ref="E122:E123"/>
    <mergeCell ref="F122:F123"/>
    <mergeCell ref="G122:G123"/>
    <mergeCell ref="H122:H123"/>
    <mergeCell ref="I122:I123"/>
    <mergeCell ref="J122:J123"/>
  </mergeCells>
  <conditionalFormatting sqref="B12:C12">
    <cfRule type="expression" dxfId="256" priority="42">
      <formula>$B12=""</formula>
    </cfRule>
  </conditionalFormatting>
  <conditionalFormatting sqref="B13:C13">
    <cfRule type="expression" dxfId="255" priority="41">
      <formula>$B13=""</formula>
    </cfRule>
  </conditionalFormatting>
  <conditionalFormatting sqref="B14:C14">
    <cfRule type="expression" dxfId="254" priority="40">
      <formula>$B14=""</formula>
    </cfRule>
  </conditionalFormatting>
  <conditionalFormatting sqref="B15:C31">
    <cfRule type="expression" dxfId="253" priority="39">
      <formula>$B15=""</formula>
    </cfRule>
  </conditionalFormatting>
  <conditionalFormatting sqref="B33:C52">
    <cfRule type="expression" dxfId="252" priority="38">
      <formula>$B33=""</formula>
    </cfRule>
  </conditionalFormatting>
  <conditionalFormatting sqref="B54:C73">
    <cfRule type="expression" dxfId="251" priority="37">
      <formula>$B54=""</formula>
    </cfRule>
  </conditionalFormatting>
  <conditionalFormatting sqref="B75:C94">
    <cfRule type="expression" dxfId="250" priority="36">
      <formula>$B75=""</formula>
    </cfRule>
  </conditionalFormatting>
  <conditionalFormatting sqref="B96:C105">
    <cfRule type="expression" dxfId="249" priority="35">
      <formula>$B96=""</formula>
    </cfRule>
  </conditionalFormatting>
  <conditionalFormatting sqref="B107:C116">
    <cfRule type="expression" dxfId="248" priority="34">
      <formula>$B107=""</formula>
    </cfRule>
  </conditionalFormatting>
  <conditionalFormatting sqref="B118:C127">
    <cfRule type="expression" dxfId="247" priority="33">
      <formula>$B118=""</formula>
    </cfRule>
  </conditionalFormatting>
  <conditionalFormatting sqref="B129:C138">
    <cfRule type="expression" dxfId="246" priority="32">
      <formula>$B129=""</formula>
    </cfRule>
  </conditionalFormatting>
  <conditionalFormatting sqref="F12">
    <cfRule type="expression" dxfId="245" priority="28">
      <formula>$F12=""</formula>
    </cfRule>
  </conditionalFormatting>
  <conditionalFormatting sqref="F14 F16 F18 F20 F22 F24 F26 F28 F30">
    <cfRule type="expression" dxfId="244" priority="27">
      <formula>$F14=""</formula>
    </cfRule>
  </conditionalFormatting>
  <conditionalFormatting sqref="F33 F35 F37 F39 F41 F43 F45 F47 F49 F51">
    <cfRule type="expression" dxfId="243" priority="26">
      <formula>$F33=""</formula>
    </cfRule>
  </conditionalFormatting>
  <conditionalFormatting sqref="F54 F56 F58 F60 F62 F64 F66 F68 F70 F72">
    <cfRule type="expression" dxfId="242" priority="25">
      <formula>$F54=""</formula>
    </cfRule>
  </conditionalFormatting>
  <conditionalFormatting sqref="F75 F77 F79 F81 F83 F85 F87 F89 F91 F93">
    <cfRule type="expression" dxfId="241" priority="24">
      <formula>$F75=""</formula>
    </cfRule>
  </conditionalFormatting>
  <conditionalFormatting sqref="F96 F98 F100 F102 F104">
    <cfRule type="expression" dxfId="240" priority="23">
      <formula>$F96=""</formula>
    </cfRule>
  </conditionalFormatting>
  <conditionalFormatting sqref="F107 F109 F111 F113 F115">
    <cfRule type="expression" dxfId="239" priority="22">
      <formula>$F107=""</formula>
    </cfRule>
  </conditionalFormatting>
  <conditionalFormatting sqref="F118 F120 F122 F124 F126">
    <cfRule type="expression" dxfId="238" priority="21">
      <formula>$F118=""</formula>
    </cfRule>
  </conditionalFormatting>
  <conditionalFormatting sqref="F129 F131 F133 F135 F137">
    <cfRule type="expression" dxfId="237" priority="20">
      <formula>$F129=""</formula>
    </cfRule>
  </conditionalFormatting>
  <conditionalFormatting sqref="H12">
    <cfRule type="expression" dxfId="236" priority="19">
      <formula>$H12=""</formula>
    </cfRule>
  </conditionalFormatting>
  <conditionalFormatting sqref="H14 H16 H18 H20 H22 H24 H26 H28 H30">
    <cfRule type="expression" dxfId="235" priority="9">
      <formula>$H14=""</formula>
    </cfRule>
  </conditionalFormatting>
  <conditionalFormatting sqref="H33">
    <cfRule type="expression" dxfId="234" priority="8">
      <formula>$H33=""</formula>
    </cfRule>
  </conditionalFormatting>
  <conditionalFormatting sqref="H35 H37 H39 H41 H43 H45 H47 H49 H51">
    <cfRule type="expression" dxfId="233" priority="7">
      <formula>$H35=""</formula>
    </cfRule>
  </conditionalFormatting>
  <conditionalFormatting sqref="H54 H56 H58 H60 H62 H64 H66 H68 H70 H72">
    <cfRule type="expression" dxfId="232" priority="6">
      <formula>$H54=""</formula>
    </cfRule>
  </conditionalFormatting>
  <conditionalFormatting sqref="H75 H77 H79 H81 H83 H85 H87 H89 H91 H93">
    <cfRule type="expression" dxfId="231" priority="5">
      <formula>$H75=""</formula>
    </cfRule>
  </conditionalFormatting>
  <conditionalFormatting sqref="H96 H98 H100 H102 H104">
    <cfRule type="expression" dxfId="230" priority="4">
      <formula>$H96=""</formula>
    </cfRule>
  </conditionalFormatting>
  <conditionalFormatting sqref="H107 H109 H111 H113 H115">
    <cfRule type="expression" dxfId="229" priority="3">
      <formula>$H107=""</formula>
    </cfRule>
  </conditionalFormatting>
  <conditionalFormatting sqref="H118 H120 H122 H124 H126">
    <cfRule type="expression" dxfId="228" priority="2">
      <formula>$H118=""</formula>
    </cfRule>
  </conditionalFormatting>
  <conditionalFormatting sqref="H129 H131 H133 H135 H137">
    <cfRule type="expression" dxfId="227" priority="1">
      <formula>$H129=""</formula>
    </cfRule>
  </conditionalFormatting>
  <pageMargins left="0.36" right="0.24" top="0.86" bottom="0.44" header="0.3" footer="0.3"/>
  <pageSetup paperSize="9" scale="85" orientation="landscape" r:id="rId1"/>
  <rowBreaks count="9" manualBreakCount="9">
    <brk id="19" max="16383" man="1"/>
    <brk id="29" max="16383" man="1"/>
    <brk id="42" max="16383" man="1"/>
    <brk id="53" max="16383" man="1"/>
    <brk id="61" max="16383" man="1"/>
    <brk id="71" max="16383" man="1"/>
    <brk id="80" max="16383" man="1"/>
    <brk id="90" max="16383" man="1"/>
    <brk id="10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S100"/>
  <sheetViews>
    <sheetView showGridLines="0" topLeftCell="A19" zoomScale="70" zoomScaleNormal="70" workbookViewId="0">
      <selection activeCell="A74" sqref="A74:XFD83"/>
    </sheetView>
  </sheetViews>
  <sheetFormatPr defaultRowHeight="14.25" x14ac:dyDescent="0.45"/>
  <cols>
    <col min="1" max="1" width="6" customWidth="1"/>
    <col min="2" max="2" width="37.73046875" customWidth="1"/>
    <col min="3" max="4" width="15.53125" customWidth="1"/>
    <col min="5" max="5" width="17.265625" customWidth="1"/>
    <col min="6" max="6" width="16.265625" bestFit="1" customWidth="1"/>
    <col min="7" max="7" width="16.53125" customWidth="1"/>
    <col min="8" max="8" width="31.796875" bestFit="1" customWidth="1"/>
    <col min="9" max="9" width="66" customWidth="1"/>
    <col min="19" max="19" width="0" hidden="1" customWidth="1"/>
  </cols>
  <sheetData>
    <row r="1" spans="1:19" x14ac:dyDescent="0.45">
      <c r="C1" s="18"/>
      <c r="D1" s="18"/>
      <c r="E1" s="18"/>
      <c r="F1" s="18" t="s">
        <v>263</v>
      </c>
      <c r="G1" s="18"/>
      <c r="H1" s="18"/>
      <c r="S1" t="s">
        <v>83</v>
      </c>
    </row>
    <row r="2" spans="1:19" x14ac:dyDescent="0.45">
      <c r="C2" s="18"/>
      <c r="D2" s="18"/>
      <c r="E2" s="18"/>
      <c r="F2" s="18" t="s">
        <v>0</v>
      </c>
      <c r="G2" s="18"/>
      <c r="H2" s="18"/>
      <c r="S2" t="s">
        <v>84</v>
      </c>
    </row>
    <row r="3" spans="1:19" x14ac:dyDescent="0.45">
      <c r="C3" s="18"/>
      <c r="D3" s="18"/>
      <c r="E3" s="18"/>
      <c r="F3" s="18" t="s">
        <v>1</v>
      </c>
      <c r="G3" s="18"/>
      <c r="H3" s="18"/>
      <c r="S3" t="s">
        <v>85</v>
      </c>
    </row>
    <row r="4" spans="1:19" x14ac:dyDescent="0.45">
      <c r="C4" s="18"/>
      <c r="D4" s="18"/>
      <c r="E4" s="18"/>
      <c r="F4" s="18" t="s">
        <v>260</v>
      </c>
      <c r="G4" s="18"/>
      <c r="H4" s="18"/>
      <c r="S4" t="s">
        <v>86</v>
      </c>
    </row>
    <row r="5" spans="1:19" x14ac:dyDescent="0.45">
      <c r="C5" s="18"/>
      <c r="D5" s="18"/>
      <c r="E5" s="18"/>
      <c r="F5" s="18" t="s">
        <v>259</v>
      </c>
      <c r="G5" s="18"/>
      <c r="H5" s="18"/>
      <c r="S5" t="s">
        <v>87</v>
      </c>
    </row>
    <row r="6" spans="1:19" ht="159" customHeight="1" x14ac:dyDescent="0.45">
      <c r="C6" s="18"/>
      <c r="D6" s="18"/>
      <c r="E6" s="18"/>
      <c r="F6" s="862" t="s">
        <v>261</v>
      </c>
      <c r="G6" s="862"/>
      <c r="H6" s="862"/>
      <c r="S6" t="s">
        <v>88</v>
      </c>
    </row>
    <row r="7" spans="1:19" s="2" customFormat="1" ht="15.75" customHeight="1" x14ac:dyDescent="0.45">
      <c r="A7" s="990" t="s">
        <v>35</v>
      </c>
      <c r="B7" s="990"/>
      <c r="C7" s="990"/>
      <c r="D7" s="990"/>
      <c r="E7" s="990"/>
      <c r="F7" s="990"/>
      <c r="G7" s="990"/>
      <c r="H7" s="990"/>
      <c r="S7" s="45" t="s">
        <v>89</v>
      </c>
    </row>
    <row r="8" spans="1:19" s="2" customFormat="1" ht="15.75" customHeight="1" x14ac:dyDescent="0.45">
      <c r="A8" s="990" t="s">
        <v>60</v>
      </c>
      <c r="B8" s="990"/>
      <c r="C8" s="990"/>
      <c r="D8" s="990"/>
      <c r="E8" s="990"/>
      <c r="F8" s="990"/>
      <c r="G8" s="990"/>
      <c r="H8" s="990"/>
    </row>
    <row r="9" spans="1:19" s="2" customFormat="1" ht="17.25" customHeight="1" x14ac:dyDescent="0.45">
      <c r="A9" s="993" t="s">
        <v>37</v>
      </c>
      <c r="B9" s="993"/>
      <c r="C9" s="993"/>
      <c r="D9" s="993"/>
      <c r="E9" s="993"/>
      <c r="F9" s="993"/>
      <c r="G9" s="993"/>
      <c r="H9" s="993"/>
      <c r="I9" t="s">
        <v>68</v>
      </c>
      <c r="J9"/>
    </row>
    <row r="10" spans="1:19" s="2" customFormat="1" x14ac:dyDescent="0.45">
      <c r="A10" s="4">
        <v>1</v>
      </c>
      <c r="B10" s="194" t="s">
        <v>3</v>
      </c>
      <c r="C10" s="994" t="str">
        <f>IF('LAMPIRAN II DONE'!C11&lt;&gt;"",'LAMPIRAN II DONE'!C11,"")</f>
        <v>Setia Juli Irzal Ismail</v>
      </c>
      <c r="D10" s="981"/>
      <c r="E10" s="981"/>
      <c r="F10" s="981"/>
      <c r="G10" s="981"/>
      <c r="H10" s="982"/>
      <c r="I10" s="41"/>
      <c r="J10" s="41"/>
      <c r="K10" s="110"/>
    </row>
    <row r="11" spans="1:19" s="2" customFormat="1" ht="15" customHeight="1" x14ac:dyDescent="0.45">
      <c r="A11" s="4">
        <v>2</v>
      </c>
      <c r="B11" s="194" t="s">
        <v>96</v>
      </c>
      <c r="C11" s="994">
        <f>IF('LAMPIRAN II DONE'!C12&lt;&gt;"",'LAMPIRAN II DONE'!C12,"")</f>
        <v>15780038</v>
      </c>
      <c r="D11" s="981"/>
      <c r="E11" s="981"/>
      <c r="F11" s="981"/>
      <c r="G11" s="981"/>
      <c r="H11" s="982"/>
      <c r="I11" s="16"/>
      <c r="J11" t="s">
        <v>69</v>
      </c>
    </row>
    <row r="12" spans="1:19" s="2" customFormat="1" ht="15" customHeight="1" x14ac:dyDescent="0.45">
      <c r="A12" s="4">
        <v>3</v>
      </c>
      <c r="B12" s="194" t="s">
        <v>39</v>
      </c>
      <c r="C12" s="994" t="str">
        <f>IF('LAMPIRAN II DONE'!C13&lt;&gt;"",'LAMPIRAN II DONE'!C13,"")</f>
        <v>-</v>
      </c>
      <c r="D12" s="981"/>
      <c r="E12" s="981"/>
      <c r="F12" s="981"/>
      <c r="G12" s="981"/>
      <c r="H12" s="982"/>
      <c r="I12" s="17"/>
      <c r="J12" s="18" t="s">
        <v>71</v>
      </c>
    </row>
    <row r="13" spans="1:19" s="2" customFormat="1" ht="15" customHeight="1" x14ac:dyDescent="0.45">
      <c r="A13" s="4">
        <v>4</v>
      </c>
      <c r="B13" s="194" t="s">
        <v>38</v>
      </c>
      <c r="C13" s="994" t="str">
        <f>IF('LAMPIRAN II DONE'!C14&lt;&gt;"",'LAMPIRAN II DONE'!C14,"")</f>
        <v>Tenaga Pengajar</v>
      </c>
      <c r="D13" s="981"/>
      <c r="E13" s="981"/>
      <c r="F13" s="981"/>
      <c r="G13" s="981"/>
      <c r="H13" s="982"/>
      <c r="J13" s="556" t="s">
        <v>623</v>
      </c>
      <c r="K13" s="556"/>
      <c r="L13" s="556"/>
    </row>
    <row r="14" spans="1:19" s="2" customFormat="1" ht="15" customHeight="1" x14ac:dyDescent="0.45">
      <c r="A14" s="4">
        <v>5</v>
      </c>
      <c r="B14" s="194" t="s">
        <v>7</v>
      </c>
      <c r="C14" s="994" t="str">
        <f>IF('LAMPIRAN II DONE'!C15&lt;&gt;"",'LAMPIRAN II DONE'!C15,"")</f>
        <v>D3 Teknik Komputer Fakultas Ilmu Terapan di Universitas Telkom pada Kopertis Wilayah IV Jawa Barat dan Banten</v>
      </c>
      <c r="D14" s="981"/>
      <c r="E14" s="981"/>
      <c r="F14" s="981"/>
      <c r="G14" s="981"/>
      <c r="H14" s="982"/>
      <c r="J14" s="556" t="s">
        <v>614</v>
      </c>
      <c r="K14" s="7"/>
    </row>
    <row r="15" spans="1:19" s="2" customFormat="1" ht="16.5" customHeight="1" x14ac:dyDescent="0.45">
      <c r="A15" s="993" t="s">
        <v>61</v>
      </c>
      <c r="B15" s="993"/>
      <c r="C15" s="993"/>
      <c r="D15" s="993"/>
      <c r="E15" s="993"/>
      <c r="F15" s="993"/>
      <c r="G15" s="993"/>
      <c r="H15" s="993"/>
    </row>
    <row r="16" spans="1:19" s="2" customFormat="1" x14ac:dyDescent="0.45">
      <c r="A16" s="4">
        <v>1</v>
      </c>
      <c r="B16" s="196" t="s">
        <v>3</v>
      </c>
      <c r="C16" s="1086" t="str">
        <f>IF('LAMPIRAN I DONE'!F15&lt;&gt;"",'LAMPIRAN I DONE'!F15,"")</f>
        <v>Simon Siregar</v>
      </c>
      <c r="D16" s="1087"/>
      <c r="E16" s="1087"/>
      <c r="F16" s="1087"/>
      <c r="G16" s="1087"/>
      <c r="H16" s="1088"/>
    </row>
    <row r="17" spans="1:10" s="2" customFormat="1" ht="15" customHeight="1" x14ac:dyDescent="0.45">
      <c r="A17" s="4">
        <v>2</v>
      </c>
      <c r="B17" s="196" t="s">
        <v>96</v>
      </c>
      <c r="C17" s="994" t="str">
        <f>IF('LAMPIRAN I DONE'!F16&lt;&gt;"",'LAMPIRAN I DONE'!F16,"")</f>
        <v>410038203 / 14820015</v>
      </c>
      <c r="D17" s="981"/>
      <c r="E17" s="981"/>
      <c r="F17" s="981"/>
      <c r="G17" s="981"/>
      <c r="H17" s="982"/>
    </row>
    <row r="18" spans="1:10" s="2" customFormat="1" ht="15" customHeight="1" x14ac:dyDescent="0.45">
      <c r="A18" s="4">
        <v>3</v>
      </c>
      <c r="B18" s="196" t="s">
        <v>39</v>
      </c>
      <c r="C18" s="994" t="str">
        <f>IF('LAMPIRAN II DONE'!C19&lt;&gt;"",'LAMPIRAN II DONE'!C19,"")</f>
        <v>Penata / IIIC</v>
      </c>
      <c r="D18" s="981"/>
      <c r="E18" s="981"/>
      <c r="F18" s="981"/>
      <c r="G18" s="981"/>
      <c r="H18" s="982"/>
    </row>
    <row r="19" spans="1:10" s="2" customFormat="1" ht="15" customHeight="1" x14ac:dyDescent="0.45">
      <c r="A19" s="4">
        <v>4</v>
      </c>
      <c r="B19" s="196" t="s">
        <v>40</v>
      </c>
      <c r="C19" s="1086" t="str">
        <f>IF('LAMPIRAN I DONE'!F21&lt;&gt;"",'LAMPIRAN I DONE'!F21,"")</f>
        <v>Lektor</v>
      </c>
      <c r="D19" s="1087"/>
      <c r="E19" s="1087"/>
      <c r="F19" s="1087"/>
      <c r="G19" s="1087"/>
      <c r="H19" s="1088"/>
    </row>
    <row r="20" spans="1:10" s="2" customFormat="1" ht="15" customHeight="1" x14ac:dyDescent="0.45">
      <c r="A20" s="4">
        <v>5</v>
      </c>
      <c r="B20" s="196" t="s">
        <v>7</v>
      </c>
      <c r="C20" s="1086" t="str">
        <f>IF('LAMPIRAN I DONE'!F25&lt;&gt;"",'LAMPIRAN I DONE'!F25,"")</f>
        <v>D3 Teknik Komputer Fakultas Ilmu Terapan di Universitas Telkom pada Kopertis Wilayah IV Jawa Barat dan Banten</v>
      </c>
      <c r="D20" s="1087"/>
      <c r="E20" s="1087"/>
      <c r="F20" s="1087"/>
      <c r="G20" s="1087"/>
      <c r="H20" s="1088"/>
    </row>
    <row r="21" spans="1:10" s="2" customFormat="1" x14ac:dyDescent="0.45">
      <c r="A21" s="992" t="s">
        <v>62</v>
      </c>
      <c r="B21" s="992"/>
      <c r="C21" s="992"/>
      <c r="D21" s="992"/>
      <c r="E21" s="992"/>
      <c r="F21" s="992"/>
      <c r="G21" s="992"/>
      <c r="H21" s="992"/>
    </row>
    <row r="22" spans="1:10" s="2" customFormat="1" ht="43.5" customHeight="1" x14ac:dyDescent="0.45">
      <c r="A22" s="5" t="s">
        <v>42</v>
      </c>
      <c r="B22" s="197" t="s">
        <v>52</v>
      </c>
      <c r="C22" s="6" t="s">
        <v>45</v>
      </c>
      <c r="D22" s="123" t="s">
        <v>256</v>
      </c>
      <c r="E22" s="6" t="s">
        <v>257</v>
      </c>
      <c r="F22" s="6" t="s">
        <v>258</v>
      </c>
      <c r="G22" s="6" t="s">
        <v>46</v>
      </c>
      <c r="H22" s="6" t="s">
        <v>266</v>
      </c>
    </row>
    <row r="23" spans="1:10" s="2" customFormat="1" x14ac:dyDescent="0.45">
      <c r="A23" s="128">
        <v>1</v>
      </c>
      <c r="B23" s="198">
        <v>2</v>
      </c>
      <c r="C23" s="128">
        <v>3</v>
      </c>
      <c r="D23" s="198">
        <v>4</v>
      </c>
      <c r="E23" s="128">
        <v>5</v>
      </c>
      <c r="F23" s="128">
        <v>6</v>
      </c>
      <c r="G23" s="128">
        <v>7</v>
      </c>
      <c r="H23" s="128">
        <v>8</v>
      </c>
    </row>
    <row r="24" spans="1:10" s="2" customFormat="1" x14ac:dyDescent="0.45">
      <c r="A24" s="123" t="s">
        <v>33</v>
      </c>
      <c r="B24" s="21" t="s">
        <v>133</v>
      </c>
      <c r="C24" s="97"/>
      <c r="D24" s="255"/>
      <c r="E24" s="97"/>
      <c r="F24" s="97"/>
      <c r="G24" s="97"/>
      <c r="H24" s="98"/>
    </row>
    <row r="25" spans="1:10" s="2" customFormat="1" x14ac:dyDescent="0.45">
      <c r="A25" s="85" t="s">
        <v>15</v>
      </c>
      <c r="B25" s="1089" t="s">
        <v>134</v>
      </c>
      <c r="C25" s="1090"/>
      <c r="D25" s="1090"/>
      <c r="E25" s="1090"/>
      <c r="F25" s="1090"/>
      <c r="G25" s="1090"/>
      <c r="H25" s="1091"/>
    </row>
    <row r="26" spans="1:10" s="2" customFormat="1" hidden="1" x14ac:dyDescent="0.45">
      <c r="A26" s="108">
        <v>1</v>
      </c>
      <c r="B26" s="241" t="s">
        <v>859</v>
      </c>
      <c r="C26" s="77" t="s">
        <v>268</v>
      </c>
      <c r="D26" s="77" t="s">
        <v>267</v>
      </c>
      <c r="E26" s="256" t="str">
        <f t="shared" ref="E26" si="0">IF(I26&lt;&gt;"",1,"")</f>
        <v/>
      </c>
      <c r="F26" s="256" t="str">
        <f>IF(I26&lt;&gt;"",J26,"")</f>
        <v/>
      </c>
      <c r="G26" s="159" t="str">
        <f>IF(J26&lt;&gt;"rumus","1 x "&amp;J26&amp;" = "&amp;J26,"rumus")</f>
        <v>rumus</v>
      </c>
      <c r="H26" s="135" t="s">
        <v>269</v>
      </c>
      <c r="I26" s="847"/>
      <c r="J26" s="27" t="str">
        <f>IF(I26="Menduduki jabatan pimpinan persemester",5.5,"rumus")</f>
        <v>rumus</v>
      </c>
    </row>
    <row r="27" spans="1:10" s="2" customFormat="1" hidden="1" x14ac:dyDescent="0.45">
      <c r="A27" s="108">
        <v>2</v>
      </c>
      <c r="B27" s="199" t="s">
        <v>101</v>
      </c>
      <c r="C27" s="77" t="s">
        <v>66</v>
      </c>
      <c r="D27" s="77"/>
      <c r="E27" s="256" t="str">
        <f t="shared" ref="E27:E35" si="1">IF(I27&lt;&gt;"",1,"")</f>
        <v/>
      </c>
      <c r="F27" s="256" t="str">
        <f t="shared" ref="F27:F35" si="2">IF(I27&lt;&gt;"",J27,"")</f>
        <v/>
      </c>
      <c r="G27" s="159" t="str">
        <f t="shared" ref="G27:G35" si="3">IF(J27&lt;&gt;"rumus","1 x "&amp;J27&amp;" = "&amp;J27,"rumus")</f>
        <v>rumus</v>
      </c>
      <c r="H27" s="135" t="s">
        <v>66</v>
      </c>
      <c r="I27" s="38"/>
      <c r="J27" s="27" t="str">
        <f t="shared" ref="J27:J35" si="4">IF(I27="Menduduki jabatan pimpinan persemester",5.5,"rumus")</f>
        <v>rumus</v>
      </c>
    </row>
    <row r="28" spans="1:10" s="2" customFormat="1" hidden="1" x14ac:dyDescent="0.45">
      <c r="A28" s="108">
        <v>3</v>
      </c>
      <c r="B28" s="199" t="s">
        <v>101</v>
      </c>
      <c r="C28" s="77" t="s">
        <v>66</v>
      </c>
      <c r="D28" s="77"/>
      <c r="E28" s="256" t="str">
        <f t="shared" si="1"/>
        <v/>
      </c>
      <c r="F28" s="256" t="str">
        <f t="shared" si="2"/>
        <v/>
      </c>
      <c r="G28" s="159" t="str">
        <f t="shared" si="3"/>
        <v>rumus</v>
      </c>
      <c r="H28" s="135" t="s">
        <v>66</v>
      </c>
      <c r="I28" s="38"/>
      <c r="J28" s="27" t="str">
        <f t="shared" si="4"/>
        <v>rumus</v>
      </c>
    </row>
    <row r="29" spans="1:10" s="2" customFormat="1" hidden="1" x14ac:dyDescent="0.45">
      <c r="A29" s="108">
        <v>4</v>
      </c>
      <c r="B29" s="199" t="s">
        <v>101</v>
      </c>
      <c r="C29" s="77" t="s">
        <v>66</v>
      </c>
      <c r="D29" s="77"/>
      <c r="E29" s="256" t="str">
        <f t="shared" si="1"/>
        <v/>
      </c>
      <c r="F29" s="256" t="str">
        <f t="shared" si="2"/>
        <v/>
      </c>
      <c r="G29" s="159" t="str">
        <f t="shared" si="3"/>
        <v>rumus</v>
      </c>
      <c r="H29" s="135" t="s">
        <v>66</v>
      </c>
      <c r="I29" s="38"/>
      <c r="J29" s="27" t="str">
        <f t="shared" si="4"/>
        <v>rumus</v>
      </c>
    </row>
    <row r="30" spans="1:10" s="2" customFormat="1" hidden="1" x14ac:dyDescent="0.45">
      <c r="A30" s="108">
        <v>5</v>
      </c>
      <c r="B30" s="199" t="s">
        <v>101</v>
      </c>
      <c r="C30" s="77" t="s">
        <v>66</v>
      </c>
      <c r="D30" s="77"/>
      <c r="E30" s="256" t="str">
        <f t="shared" si="1"/>
        <v/>
      </c>
      <c r="F30" s="256" t="str">
        <f t="shared" si="2"/>
        <v/>
      </c>
      <c r="G30" s="159" t="str">
        <f t="shared" si="3"/>
        <v>rumus</v>
      </c>
      <c r="H30" s="135" t="s">
        <v>66</v>
      </c>
      <c r="I30" s="38"/>
      <c r="J30" s="27" t="str">
        <f t="shared" si="4"/>
        <v>rumus</v>
      </c>
    </row>
    <row r="31" spans="1:10" s="2" customFormat="1" hidden="1" x14ac:dyDescent="0.45">
      <c r="A31" s="108">
        <v>6</v>
      </c>
      <c r="B31" s="199" t="s">
        <v>101</v>
      </c>
      <c r="C31" s="77" t="s">
        <v>66</v>
      </c>
      <c r="D31" s="77"/>
      <c r="E31" s="256" t="str">
        <f t="shared" si="1"/>
        <v/>
      </c>
      <c r="F31" s="256" t="str">
        <f t="shared" si="2"/>
        <v/>
      </c>
      <c r="G31" s="159" t="str">
        <f t="shared" si="3"/>
        <v>rumus</v>
      </c>
      <c r="H31" s="135" t="s">
        <v>66</v>
      </c>
      <c r="I31" s="38"/>
      <c r="J31" s="27" t="str">
        <f t="shared" si="4"/>
        <v>rumus</v>
      </c>
    </row>
    <row r="32" spans="1:10" s="2" customFormat="1" hidden="1" x14ac:dyDescent="0.45">
      <c r="A32" s="108">
        <v>7</v>
      </c>
      <c r="B32" s="199" t="s">
        <v>101</v>
      </c>
      <c r="C32" s="77" t="s">
        <v>66</v>
      </c>
      <c r="D32" s="77"/>
      <c r="E32" s="256" t="str">
        <f t="shared" si="1"/>
        <v/>
      </c>
      <c r="F32" s="256" t="str">
        <f t="shared" si="2"/>
        <v/>
      </c>
      <c r="G32" s="159" t="str">
        <f t="shared" si="3"/>
        <v>rumus</v>
      </c>
      <c r="H32" s="135" t="s">
        <v>66</v>
      </c>
      <c r="I32" s="38"/>
      <c r="J32" s="27" t="str">
        <f t="shared" si="4"/>
        <v>rumus</v>
      </c>
    </row>
    <row r="33" spans="1:10" s="2" customFormat="1" hidden="1" x14ac:dyDescent="0.45">
      <c r="A33" s="108">
        <v>8</v>
      </c>
      <c r="B33" s="199" t="s">
        <v>101</v>
      </c>
      <c r="C33" s="77" t="s">
        <v>66</v>
      </c>
      <c r="D33" s="77"/>
      <c r="E33" s="256" t="str">
        <f t="shared" si="1"/>
        <v/>
      </c>
      <c r="F33" s="256" t="str">
        <f t="shared" si="2"/>
        <v/>
      </c>
      <c r="G33" s="159" t="str">
        <f t="shared" si="3"/>
        <v>rumus</v>
      </c>
      <c r="H33" s="135" t="s">
        <v>66</v>
      </c>
      <c r="I33" s="38"/>
      <c r="J33" s="27" t="str">
        <f t="shared" si="4"/>
        <v>rumus</v>
      </c>
    </row>
    <row r="34" spans="1:10" s="2" customFormat="1" hidden="1" x14ac:dyDescent="0.45">
      <c r="A34" s="108">
        <v>9</v>
      </c>
      <c r="B34" s="199" t="s">
        <v>101</v>
      </c>
      <c r="C34" s="77" t="s">
        <v>66</v>
      </c>
      <c r="D34" s="77"/>
      <c r="E34" s="256" t="str">
        <f t="shared" si="1"/>
        <v/>
      </c>
      <c r="F34" s="256" t="str">
        <f t="shared" si="2"/>
        <v/>
      </c>
      <c r="G34" s="159" t="str">
        <f t="shared" si="3"/>
        <v>rumus</v>
      </c>
      <c r="H34" s="135" t="s">
        <v>66</v>
      </c>
      <c r="I34" s="38"/>
      <c r="J34" s="27" t="str">
        <f t="shared" si="4"/>
        <v>rumus</v>
      </c>
    </row>
    <row r="35" spans="1:10" s="2" customFormat="1" hidden="1" x14ac:dyDescent="0.45">
      <c r="A35" s="108">
        <v>10</v>
      </c>
      <c r="B35" s="199" t="s">
        <v>101</v>
      </c>
      <c r="C35" s="77" t="s">
        <v>66</v>
      </c>
      <c r="D35" s="77"/>
      <c r="E35" s="256" t="str">
        <f t="shared" si="1"/>
        <v/>
      </c>
      <c r="F35" s="256" t="str">
        <f t="shared" si="2"/>
        <v/>
      </c>
      <c r="G35" s="159" t="str">
        <f t="shared" si="3"/>
        <v>rumus</v>
      </c>
      <c r="H35" s="135" t="s">
        <v>66</v>
      </c>
      <c r="I35" s="38"/>
      <c r="J35" s="27" t="str">
        <f t="shared" si="4"/>
        <v>rumus</v>
      </c>
    </row>
    <row r="36" spans="1:10" s="2" customFormat="1" x14ac:dyDescent="0.45">
      <c r="A36" s="100"/>
      <c r="B36" s="968" t="s">
        <v>67</v>
      </c>
      <c r="C36" s="969"/>
      <c r="D36" s="969"/>
      <c r="E36" s="969"/>
      <c r="F36" s="969"/>
      <c r="G36" s="43">
        <f>SUM(J26:J35)</f>
        <v>0</v>
      </c>
      <c r="H36" s="98"/>
    </row>
    <row r="37" spans="1:10" s="2" customFormat="1" x14ac:dyDescent="0.45">
      <c r="A37" s="85" t="s">
        <v>17</v>
      </c>
      <c r="B37" s="1092" t="s">
        <v>170</v>
      </c>
      <c r="C37" s="1090"/>
      <c r="D37" s="1090"/>
      <c r="E37" s="1090"/>
      <c r="F37" s="1090"/>
      <c r="G37" s="1090"/>
      <c r="H37" s="1091"/>
    </row>
    <row r="38" spans="1:10" s="2" customFormat="1" ht="26.25" x14ac:dyDescent="0.45">
      <c r="A38" s="67">
        <v>1</v>
      </c>
      <c r="B38" s="851" t="s">
        <v>975</v>
      </c>
      <c r="C38" s="850" t="s">
        <v>976</v>
      </c>
      <c r="D38" s="77"/>
      <c r="E38" s="256">
        <f t="shared" ref="E38" si="5">IF(I38&lt;&gt;"",1,"")</f>
        <v>1</v>
      </c>
      <c r="F38" s="256">
        <f t="shared" ref="F38" si="6">IF(I38&lt;&gt;"",J38,"")</f>
        <v>3</v>
      </c>
      <c r="G38" s="159" t="str">
        <f t="shared" ref="G38" si="7">IF(J38&lt;&gt;"rumus","1 x "&amp;J38&amp;" = "&amp;J38,"rumus")</f>
        <v>1 x 3 = 3</v>
      </c>
      <c r="H38" s="850" t="s">
        <v>979</v>
      </c>
      <c r="I38" s="38" t="s">
        <v>981</v>
      </c>
      <c r="J38" s="27">
        <f>IF(I38="Melaksanakan pengembangan perprogram",3,"rumus")</f>
        <v>3</v>
      </c>
    </row>
    <row r="39" spans="1:10" s="2" customFormat="1" ht="26.25" x14ac:dyDescent="0.45">
      <c r="A39" s="67">
        <v>2</v>
      </c>
      <c r="B39" s="851" t="s">
        <v>977</v>
      </c>
      <c r="C39" s="850" t="s">
        <v>978</v>
      </c>
      <c r="D39" s="77"/>
      <c r="E39" s="256">
        <f t="shared" ref="E39:E47" si="8">IF(I39&lt;&gt;"",1,"")</f>
        <v>1</v>
      </c>
      <c r="F39" s="256">
        <f t="shared" ref="F39:F47" si="9">IF(I39&lt;&gt;"",J39,"")</f>
        <v>3</v>
      </c>
      <c r="G39" s="159" t="str">
        <f t="shared" ref="G39:G47" si="10">IF(J39&lt;&gt;"rumus","1 x "&amp;J39&amp;" = "&amp;J39,"rumus")</f>
        <v>1 x 3 = 3</v>
      </c>
      <c r="H39" s="850" t="s">
        <v>980</v>
      </c>
      <c r="I39" s="38" t="s">
        <v>981</v>
      </c>
      <c r="J39" s="27">
        <f t="shared" ref="J39:J47" si="11">IF(I39="Melaksanakan pengembangan perprogram",3,"rumus")</f>
        <v>3</v>
      </c>
    </row>
    <row r="40" spans="1:10" s="2" customFormat="1" hidden="1" x14ac:dyDescent="0.45">
      <c r="A40" s="67">
        <v>3</v>
      </c>
      <c r="B40" s="199" t="s">
        <v>98</v>
      </c>
      <c r="C40" s="77"/>
      <c r="D40" s="77"/>
      <c r="E40" s="256" t="str">
        <f t="shared" si="8"/>
        <v/>
      </c>
      <c r="F40" s="256" t="str">
        <f t="shared" si="9"/>
        <v/>
      </c>
      <c r="G40" s="159" t="str">
        <f t="shared" si="10"/>
        <v>rumus</v>
      </c>
      <c r="H40" s="77"/>
      <c r="I40" s="38"/>
      <c r="J40" s="27" t="str">
        <f t="shared" si="11"/>
        <v>rumus</v>
      </c>
    </row>
    <row r="41" spans="1:10" s="2" customFormat="1" hidden="1" x14ac:dyDescent="0.45">
      <c r="A41" s="67">
        <v>4</v>
      </c>
      <c r="B41" s="199" t="s">
        <v>98</v>
      </c>
      <c r="C41" s="77"/>
      <c r="D41" s="77"/>
      <c r="E41" s="256" t="str">
        <f t="shared" si="8"/>
        <v/>
      </c>
      <c r="F41" s="256" t="str">
        <f t="shared" si="9"/>
        <v/>
      </c>
      <c r="G41" s="159" t="str">
        <f t="shared" si="10"/>
        <v>rumus</v>
      </c>
      <c r="H41" s="77"/>
      <c r="I41" s="38"/>
      <c r="J41" s="27" t="str">
        <f t="shared" si="11"/>
        <v>rumus</v>
      </c>
    </row>
    <row r="42" spans="1:10" s="2" customFormat="1" hidden="1" x14ac:dyDescent="0.45">
      <c r="A42" s="67">
        <v>5</v>
      </c>
      <c r="B42" s="199" t="s">
        <v>98</v>
      </c>
      <c r="C42" s="77"/>
      <c r="D42" s="77"/>
      <c r="E42" s="256" t="str">
        <f t="shared" si="8"/>
        <v/>
      </c>
      <c r="F42" s="256" t="str">
        <f t="shared" si="9"/>
        <v/>
      </c>
      <c r="G42" s="159" t="str">
        <f t="shared" si="10"/>
        <v>rumus</v>
      </c>
      <c r="H42" s="77"/>
      <c r="I42" s="38"/>
      <c r="J42" s="27" t="str">
        <f t="shared" si="11"/>
        <v>rumus</v>
      </c>
    </row>
    <row r="43" spans="1:10" s="2" customFormat="1" hidden="1" x14ac:dyDescent="0.45">
      <c r="A43" s="67">
        <v>6</v>
      </c>
      <c r="B43" s="199" t="s">
        <v>98</v>
      </c>
      <c r="C43" s="77"/>
      <c r="D43" s="77"/>
      <c r="E43" s="256" t="str">
        <f t="shared" si="8"/>
        <v/>
      </c>
      <c r="F43" s="256" t="str">
        <f t="shared" si="9"/>
        <v/>
      </c>
      <c r="G43" s="159" t="str">
        <f t="shared" si="10"/>
        <v>rumus</v>
      </c>
      <c r="H43" s="77"/>
      <c r="I43" s="38"/>
      <c r="J43" s="27" t="str">
        <f t="shared" si="11"/>
        <v>rumus</v>
      </c>
    </row>
    <row r="44" spans="1:10" s="2" customFormat="1" hidden="1" x14ac:dyDescent="0.45">
      <c r="A44" s="67">
        <v>7</v>
      </c>
      <c r="B44" s="199" t="s">
        <v>98</v>
      </c>
      <c r="C44" s="77"/>
      <c r="D44" s="77"/>
      <c r="E44" s="256" t="str">
        <f t="shared" si="8"/>
        <v/>
      </c>
      <c r="F44" s="256" t="str">
        <f t="shared" si="9"/>
        <v/>
      </c>
      <c r="G44" s="159" t="str">
        <f t="shared" si="10"/>
        <v>rumus</v>
      </c>
      <c r="H44" s="77"/>
      <c r="I44" s="38"/>
      <c r="J44" s="27" t="str">
        <f t="shared" si="11"/>
        <v>rumus</v>
      </c>
    </row>
    <row r="45" spans="1:10" s="2" customFormat="1" hidden="1" x14ac:dyDescent="0.45">
      <c r="A45" s="67">
        <v>8</v>
      </c>
      <c r="B45" s="199" t="s">
        <v>98</v>
      </c>
      <c r="C45" s="77"/>
      <c r="D45" s="77"/>
      <c r="E45" s="256" t="str">
        <f t="shared" si="8"/>
        <v/>
      </c>
      <c r="F45" s="256" t="str">
        <f t="shared" si="9"/>
        <v/>
      </c>
      <c r="G45" s="159" t="str">
        <f t="shared" si="10"/>
        <v>rumus</v>
      </c>
      <c r="H45" s="77"/>
      <c r="I45" s="38"/>
      <c r="J45" s="27" t="str">
        <f t="shared" si="11"/>
        <v>rumus</v>
      </c>
    </row>
    <row r="46" spans="1:10" s="2" customFormat="1" hidden="1" x14ac:dyDescent="0.45">
      <c r="A46" s="67">
        <v>9</v>
      </c>
      <c r="B46" s="199" t="s">
        <v>98</v>
      </c>
      <c r="C46" s="77"/>
      <c r="D46" s="77"/>
      <c r="E46" s="256" t="str">
        <f t="shared" si="8"/>
        <v/>
      </c>
      <c r="F46" s="256" t="str">
        <f t="shared" si="9"/>
        <v/>
      </c>
      <c r="G46" s="159" t="str">
        <f t="shared" si="10"/>
        <v>rumus</v>
      </c>
      <c r="H46" s="77"/>
      <c r="I46" s="38"/>
      <c r="J46" s="27" t="str">
        <f t="shared" si="11"/>
        <v>rumus</v>
      </c>
    </row>
    <row r="47" spans="1:10" s="2" customFormat="1" hidden="1" x14ac:dyDescent="0.45">
      <c r="A47" s="67">
        <v>10</v>
      </c>
      <c r="B47" s="199" t="s">
        <v>98</v>
      </c>
      <c r="C47" s="77"/>
      <c r="D47" s="77"/>
      <c r="E47" s="256" t="str">
        <f t="shared" si="8"/>
        <v/>
      </c>
      <c r="F47" s="256" t="str">
        <f t="shared" si="9"/>
        <v/>
      </c>
      <c r="G47" s="159" t="str">
        <f t="shared" si="10"/>
        <v>rumus</v>
      </c>
      <c r="H47" s="77"/>
      <c r="I47" s="38"/>
      <c r="J47" s="27" t="str">
        <f t="shared" si="11"/>
        <v>rumus</v>
      </c>
    </row>
    <row r="48" spans="1:10" s="2" customFormat="1" x14ac:dyDescent="0.45">
      <c r="A48" s="68"/>
      <c r="B48" s="968" t="s">
        <v>67</v>
      </c>
      <c r="C48" s="969"/>
      <c r="D48" s="969"/>
      <c r="E48" s="969"/>
      <c r="F48" s="969"/>
      <c r="G48" s="43">
        <f>SUM(J38:J47)</f>
        <v>6</v>
      </c>
      <c r="H48" s="98"/>
    </row>
    <row r="49" spans="1:10" s="2" customFormat="1" x14ac:dyDescent="0.45">
      <c r="A49" s="85" t="s">
        <v>118</v>
      </c>
      <c r="B49" s="1089" t="s">
        <v>82</v>
      </c>
      <c r="C49" s="1090"/>
      <c r="D49" s="1090"/>
      <c r="E49" s="1090"/>
      <c r="F49" s="1090"/>
      <c r="G49" s="1090"/>
      <c r="H49" s="1091"/>
    </row>
    <row r="50" spans="1:10" s="173" customFormat="1" ht="26.25" x14ac:dyDescent="0.45">
      <c r="A50" s="171">
        <v>1</v>
      </c>
      <c r="B50" s="851" t="s">
        <v>982</v>
      </c>
      <c r="C50" s="850" t="s">
        <v>983</v>
      </c>
      <c r="D50" s="77"/>
      <c r="E50" s="256">
        <f t="shared" ref="E50" si="12">IF(I50&lt;&gt;"",1,"")</f>
        <v>1</v>
      </c>
      <c r="F50" s="256">
        <f t="shared" ref="F50" si="13">IF(I50&lt;&gt;"",J50,"")</f>
        <v>1</v>
      </c>
      <c r="G50" s="159" t="str">
        <f t="shared" ref="G50" si="14">IF(J50&lt;&gt;"rumus","1 x "&amp;J50&amp;" = "&amp;J50,"rumus")</f>
        <v>1 x 1 = 1</v>
      </c>
      <c r="H50" s="850" t="s">
        <v>984</v>
      </c>
      <c r="I50" s="181" t="s">
        <v>89</v>
      </c>
      <c r="J50" s="27">
        <f>IF(I50&lt;&gt;"",IF(I50="a.1).Terjadwal/terprogram Dalam satu semester atau lebih Tingkat Internasional tiap program",4,IF(I50="a.2).Terjadwal/terprogram Dalam satu semester atau lebih Tingkat Nasional tiap program",3,IF(I50="a.3).Terjadwal/terprogram Dalam satu semester atau lebih Tingkat Lokal tiap program",2,IF(I50="a.4).Terjadwal/terprogram Kurang dari satu semester dan minimal satu bulan Tingkat Internasional tiap program",3,IF(I50="a.5).Terjadwal/terprogram Kurang dari satu semester dan minimal satu bulan Tingkat Nasional tiap program",2,IF(I50="a.6).Terjadwal/terprogram Kurang dari satu semester dan minimal satu bulan Tingkat Lokal tiap program",1,IF(I50="b.Insidental, tiap kegiatan program",1,""))))))),"rumus")</f>
        <v>1</v>
      </c>
    </row>
    <row r="51" spans="1:10" s="2" customFormat="1" hidden="1" x14ac:dyDescent="0.45">
      <c r="A51" s="67">
        <v>2</v>
      </c>
      <c r="B51" s="199" t="s">
        <v>98</v>
      </c>
      <c r="C51" s="77" t="s">
        <v>66</v>
      </c>
      <c r="D51" s="77"/>
      <c r="E51" s="256" t="str">
        <f t="shared" ref="E51:E59" si="15">IF(I51&lt;&gt;"",1,"")</f>
        <v/>
      </c>
      <c r="F51" s="256" t="str">
        <f t="shared" ref="F51:F59" si="16">IF(I51&lt;&gt;"",J51,"")</f>
        <v/>
      </c>
      <c r="G51" s="159" t="str">
        <f t="shared" ref="G51:G59" si="17">IF(J51&lt;&gt;"rumus","1 x "&amp;J51&amp;" = "&amp;J51,"rumus")</f>
        <v>rumus</v>
      </c>
      <c r="H51" s="77" t="s">
        <v>66</v>
      </c>
      <c r="I51" s="99"/>
      <c r="J51" s="27" t="str">
        <f t="shared" ref="J51:J59" si="18">IF(I51&lt;&gt;"",IF(I51="a.1).Terjadwal/terprogram Dalam satu semester atau lebih Tingkat Internasional tiap program",4,IF(I51="a.2).Terjadwal/terprogram Dalam satu semester atau lebih Tingkat Nasional tiap program",3,IF(I51="a.3).Terjadwal/terprogram Dalam satu semester atau lebih Tingkat Lokal tiap program",2,IF(I51="a.4).Terjadwal/terprogram Kurang dari satu semester dan minimal satu bulan Tingkat Internasional tiap program",3,IF(I51="a.5).Terjadwal/terprogram Kurang dari satu semester dan minimal satu bulan Tingkat Nasional tiap program",2,IF(I51="a.6).Terjadwal/terprogram Kurang dari satu semester dan minimal satu bulan Tingkat Lokal tiap program",1,IF(I51="b.Insidental, tiap kegiatan program",1,""))))))),"rumus")</f>
        <v>rumus</v>
      </c>
    </row>
    <row r="52" spans="1:10" s="2" customFormat="1" hidden="1" x14ac:dyDescent="0.45">
      <c r="A52" s="67">
        <v>3</v>
      </c>
      <c r="B52" s="199" t="s">
        <v>98</v>
      </c>
      <c r="C52" s="77" t="s">
        <v>66</v>
      </c>
      <c r="D52" s="77"/>
      <c r="E52" s="256" t="str">
        <f t="shared" si="15"/>
        <v/>
      </c>
      <c r="F52" s="256" t="str">
        <f t="shared" si="16"/>
        <v/>
      </c>
      <c r="G52" s="159" t="str">
        <f t="shared" si="17"/>
        <v>rumus</v>
      </c>
      <c r="H52" s="77" t="s">
        <v>66</v>
      </c>
      <c r="I52" s="99"/>
      <c r="J52" s="27" t="str">
        <f t="shared" si="18"/>
        <v>rumus</v>
      </c>
    </row>
    <row r="53" spans="1:10" s="2" customFormat="1" ht="15" hidden="1" customHeight="1" x14ac:dyDescent="0.45">
      <c r="A53" s="67">
        <v>4</v>
      </c>
      <c r="B53" s="199" t="s">
        <v>98</v>
      </c>
      <c r="C53" s="77" t="s">
        <v>66</v>
      </c>
      <c r="D53" s="77"/>
      <c r="E53" s="256" t="str">
        <f t="shared" si="15"/>
        <v/>
      </c>
      <c r="F53" s="256" t="str">
        <f t="shared" si="16"/>
        <v/>
      </c>
      <c r="G53" s="159" t="str">
        <f t="shared" si="17"/>
        <v>rumus</v>
      </c>
      <c r="H53" s="77" t="s">
        <v>66</v>
      </c>
      <c r="I53" s="99"/>
      <c r="J53" s="27" t="str">
        <f t="shared" si="18"/>
        <v>rumus</v>
      </c>
    </row>
    <row r="54" spans="1:10" s="2" customFormat="1" ht="16.5" hidden="1" customHeight="1" x14ac:dyDescent="0.45">
      <c r="A54" s="67">
        <v>5</v>
      </c>
      <c r="B54" s="199" t="s">
        <v>98</v>
      </c>
      <c r="C54" s="77" t="s">
        <v>66</v>
      </c>
      <c r="D54" s="77"/>
      <c r="E54" s="256" t="str">
        <f t="shared" si="15"/>
        <v/>
      </c>
      <c r="F54" s="256" t="str">
        <f t="shared" si="16"/>
        <v/>
      </c>
      <c r="G54" s="159" t="str">
        <f t="shared" si="17"/>
        <v>rumus</v>
      </c>
      <c r="H54" s="77" t="s">
        <v>66</v>
      </c>
      <c r="I54" s="99"/>
      <c r="J54" s="27" t="str">
        <f t="shared" si="18"/>
        <v>rumus</v>
      </c>
    </row>
    <row r="55" spans="1:10" s="2" customFormat="1" ht="16.5" hidden="1" customHeight="1" x14ac:dyDescent="0.45">
      <c r="A55" s="67">
        <v>6</v>
      </c>
      <c r="B55" s="199" t="s">
        <v>98</v>
      </c>
      <c r="C55" s="77" t="s">
        <v>66</v>
      </c>
      <c r="D55" s="77"/>
      <c r="E55" s="256" t="str">
        <f t="shared" si="15"/>
        <v/>
      </c>
      <c r="F55" s="256" t="str">
        <f t="shared" si="16"/>
        <v/>
      </c>
      <c r="G55" s="159" t="str">
        <f t="shared" si="17"/>
        <v>rumus</v>
      </c>
      <c r="H55" s="77" t="s">
        <v>66</v>
      </c>
      <c r="I55" s="99"/>
      <c r="J55" s="27" t="str">
        <f t="shared" si="18"/>
        <v>rumus</v>
      </c>
    </row>
    <row r="56" spans="1:10" s="2" customFormat="1" ht="16.5" hidden="1" customHeight="1" x14ac:dyDescent="0.45">
      <c r="A56" s="67">
        <v>7</v>
      </c>
      <c r="B56" s="199" t="s">
        <v>98</v>
      </c>
      <c r="C56" s="77" t="s">
        <v>66</v>
      </c>
      <c r="D56" s="77"/>
      <c r="E56" s="256" t="str">
        <f t="shared" si="15"/>
        <v/>
      </c>
      <c r="F56" s="256" t="str">
        <f t="shared" si="16"/>
        <v/>
      </c>
      <c r="G56" s="159" t="str">
        <f t="shared" si="17"/>
        <v>rumus</v>
      </c>
      <c r="H56" s="77" t="s">
        <v>66</v>
      </c>
      <c r="I56" s="99"/>
      <c r="J56" s="27" t="str">
        <f t="shared" si="18"/>
        <v>rumus</v>
      </c>
    </row>
    <row r="57" spans="1:10" s="2" customFormat="1" ht="16.5" hidden="1" customHeight="1" x14ac:dyDescent="0.45">
      <c r="A57" s="67">
        <v>8</v>
      </c>
      <c r="B57" s="199" t="s">
        <v>98</v>
      </c>
      <c r="C57" s="77" t="s">
        <v>66</v>
      </c>
      <c r="D57" s="77"/>
      <c r="E57" s="256" t="str">
        <f t="shared" si="15"/>
        <v/>
      </c>
      <c r="F57" s="256" t="str">
        <f t="shared" si="16"/>
        <v/>
      </c>
      <c r="G57" s="159" t="str">
        <f t="shared" si="17"/>
        <v>rumus</v>
      </c>
      <c r="H57" s="77" t="s">
        <v>66</v>
      </c>
      <c r="I57" s="99"/>
      <c r="J57" s="27" t="str">
        <f t="shared" si="18"/>
        <v>rumus</v>
      </c>
    </row>
    <row r="58" spans="1:10" s="2" customFormat="1" ht="16.5" hidden="1" customHeight="1" x14ac:dyDescent="0.45">
      <c r="A58" s="67">
        <v>9</v>
      </c>
      <c r="B58" s="199" t="s">
        <v>98</v>
      </c>
      <c r="C58" s="77" t="s">
        <v>66</v>
      </c>
      <c r="D58" s="77"/>
      <c r="E58" s="256" t="str">
        <f t="shared" si="15"/>
        <v/>
      </c>
      <c r="F58" s="256" t="str">
        <f t="shared" si="16"/>
        <v/>
      </c>
      <c r="G58" s="159" t="str">
        <f t="shared" si="17"/>
        <v>rumus</v>
      </c>
      <c r="H58" s="77" t="s">
        <v>66</v>
      </c>
      <c r="I58" s="99"/>
      <c r="J58" s="27" t="str">
        <f t="shared" si="18"/>
        <v>rumus</v>
      </c>
    </row>
    <row r="59" spans="1:10" s="2" customFormat="1" ht="16.5" hidden="1" customHeight="1" x14ac:dyDescent="0.45">
      <c r="A59" s="67">
        <v>10</v>
      </c>
      <c r="B59" s="199" t="s">
        <v>98</v>
      </c>
      <c r="E59" s="256" t="str">
        <f t="shared" si="15"/>
        <v/>
      </c>
      <c r="F59" s="256" t="str">
        <f t="shared" si="16"/>
        <v/>
      </c>
      <c r="G59" s="159" t="str">
        <f t="shared" si="17"/>
        <v>rumus</v>
      </c>
      <c r="H59" s="77" t="s">
        <v>66</v>
      </c>
      <c r="I59" s="99"/>
      <c r="J59" s="27" t="str">
        <f t="shared" si="18"/>
        <v>rumus</v>
      </c>
    </row>
    <row r="60" spans="1:10" s="2" customFormat="1" x14ac:dyDescent="0.45">
      <c r="A60" s="68"/>
      <c r="B60" s="968" t="s">
        <v>67</v>
      </c>
      <c r="C60" s="969"/>
      <c r="D60" s="969"/>
      <c r="E60" s="969"/>
      <c r="F60" s="969"/>
      <c r="G60" s="43">
        <f>SUM(J50:J59)</f>
        <v>1</v>
      </c>
      <c r="H60" s="98"/>
    </row>
    <row r="61" spans="1:10" s="2" customFormat="1" x14ac:dyDescent="0.45">
      <c r="A61" s="85" t="s">
        <v>119</v>
      </c>
      <c r="B61" s="1089" t="s">
        <v>172</v>
      </c>
      <c r="C61" s="1090"/>
      <c r="D61" s="1090"/>
      <c r="E61" s="1090"/>
      <c r="F61" s="1090"/>
      <c r="G61" s="1090"/>
      <c r="H61" s="1091"/>
    </row>
    <row r="62" spans="1:10" s="2" customFormat="1" hidden="1" x14ac:dyDescent="0.45">
      <c r="A62" s="67">
        <v>1</v>
      </c>
      <c r="B62" s="199" t="s">
        <v>101</v>
      </c>
      <c r="C62" s="77" t="s">
        <v>66</v>
      </c>
      <c r="D62" s="77"/>
      <c r="E62" s="256" t="str">
        <f t="shared" ref="E62" si="19">IF(I62&lt;&gt;"",1,"")</f>
        <v/>
      </c>
      <c r="F62" s="256" t="str">
        <f t="shared" ref="F62" si="20">IF(I62&lt;&gt;"",J62,"")</f>
        <v/>
      </c>
      <c r="G62" s="159" t="str">
        <f t="shared" ref="G62" si="21">IF(J62&lt;&gt;"rumus","1 x "&amp;J62&amp;" = "&amp;J62,"rumus")</f>
        <v>rumus</v>
      </c>
      <c r="H62" s="77" t="s">
        <v>66</v>
      </c>
      <c r="I62" s="38"/>
      <c r="J62" s="27" t="str">
        <f>IF(I62&lt;&gt;"",IF(I62="a.Berdasarkan bidang keahlian",1.5,IF(I62="b.Berdasarkan penugasan lembaga Perguruan Tinggi",1,IF(I62="c.Berdasarkan fungsi dan jabatan",0.5,""))),"rumus")</f>
        <v>rumus</v>
      </c>
    </row>
    <row r="63" spans="1:10" s="2" customFormat="1" hidden="1" x14ac:dyDescent="0.45">
      <c r="A63" s="67">
        <v>2</v>
      </c>
      <c r="B63" s="199" t="s">
        <v>101</v>
      </c>
      <c r="C63" s="77" t="s">
        <v>66</v>
      </c>
      <c r="D63" s="77"/>
      <c r="E63" s="256" t="str">
        <f t="shared" ref="E63:E71" si="22">IF(I63&lt;&gt;"",1,"")</f>
        <v/>
      </c>
      <c r="F63" s="256" t="str">
        <f t="shared" ref="F63:F71" si="23">IF(I63&lt;&gt;"",J63,"")</f>
        <v/>
      </c>
      <c r="G63" s="159" t="str">
        <f t="shared" ref="G63:G71" si="24">IF(J63&lt;&gt;"rumus","1 x "&amp;J63&amp;" = "&amp;J63,"rumus")</f>
        <v>rumus</v>
      </c>
      <c r="H63" s="77" t="s">
        <v>66</v>
      </c>
      <c r="I63" s="38"/>
      <c r="J63" s="27" t="str">
        <f t="shared" ref="J63:J71" si="25">IF(I63&lt;&gt;"",IF(I63="a.Berdasarkan bidang keahlian",1.5,IF(I63="b.Berdasarkan penugasan lembaga Perguruan Tinggi",1,IF(I63="c.Berdasarkan fungsi dan jabatan",0.5,""))),"rumus")</f>
        <v>rumus</v>
      </c>
    </row>
    <row r="64" spans="1:10" s="2" customFormat="1" hidden="1" x14ac:dyDescent="0.45">
      <c r="A64" s="67">
        <v>3</v>
      </c>
      <c r="B64" s="199" t="s">
        <v>101</v>
      </c>
      <c r="C64" s="77" t="s">
        <v>66</v>
      </c>
      <c r="D64" s="77"/>
      <c r="E64" s="256" t="str">
        <f t="shared" si="22"/>
        <v/>
      </c>
      <c r="F64" s="256" t="str">
        <f t="shared" si="23"/>
        <v/>
      </c>
      <c r="G64" s="159" t="str">
        <f t="shared" si="24"/>
        <v>rumus</v>
      </c>
      <c r="H64" s="77" t="s">
        <v>66</v>
      </c>
      <c r="I64" s="38"/>
      <c r="J64" s="27" t="str">
        <f t="shared" si="25"/>
        <v>rumus</v>
      </c>
    </row>
    <row r="65" spans="1:10" s="2" customFormat="1" hidden="1" x14ac:dyDescent="0.45">
      <c r="A65" s="67">
        <v>4</v>
      </c>
      <c r="B65" s="199" t="s">
        <v>101</v>
      </c>
      <c r="C65" s="77" t="s">
        <v>66</v>
      </c>
      <c r="D65" s="77"/>
      <c r="E65" s="256" t="str">
        <f t="shared" si="22"/>
        <v/>
      </c>
      <c r="F65" s="256" t="str">
        <f t="shared" si="23"/>
        <v/>
      </c>
      <c r="G65" s="159" t="str">
        <f t="shared" si="24"/>
        <v>rumus</v>
      </c>
      <c r="H65" s="77" t="s">
        <v>66</v>
      </c>
      <c r="I65" s="38"/>
      <c r="J65" s="27" t="str">
        <f t="shared" si="25"/>
        <v>rumus</v>
      </c>
    </row>
    <row r="66" spans="1:10" s="2" customFormat="1" hidden="1" x14ac:dyDescent="0.45">
      <c r="A66" s="67">
        <v>5</v>
      </c>
      <c r="B66" s="199" t="s">
        <v>101</v>
      </c>
      <c r="C66" s="77" t="s">
        <v>66</v>
      </c>
      <c r="D66" s="77"/>
      <c r="E66" s="256" t="str">
        <f t="shared" si="22"/>
        <v/>
      </c>
      <c r="F66" s="256" t="str">
        <f t="shared" si="23"/>
        <v/>
      </c>
      <c r="G66" s="159" t="str">
        <f t="shared" si="24"/>
        <v>rumus</v>
      </c>
      <c r="H66" s="77" t="s">
        <v>66</v>
      </c>
      <c r="I66" s="38"/>
      <c r="J66" s="27" t="str">
        <f t="shared" si="25"/>
        <v>rumus</v>
      </c>
    </row>
    <row r="67" spans="1:10" s="2" customFormat="1" hidden="1" x14ac:dyDescent="0.45">
      <c r="A67" s="67">
        <v>6</v>
      </c>
      <c r="B67" s="199" t="s">
        <v>101</v>
      </c>
      <c r="C67" s="77" t="s">
        <v>66</v>
      </c>
      <c r="D67" s="77"/>
      <c r="E67" s="256" t="str">
        <f t="shared" si="22"/>
        <v/>
      </c>
      <c r="F67" s="256" t="str">
        <f t="shared" si="23"/>
        <v/>
      </c>
      <c r="G67" s="159" t="str">
        <f t="shared" si="24"/>
        <v>rumus</v>
      </c>
      <c r="H67" s="77" t="s">
        <v>66</v>
      </c>
      <c r="I67" s="38"/>
      <c r="J67" s="27" t="str">
        <f t="shared" si="25"/>
        <v>rumus</v>
      </c>
    </row>
    <row r="68" spans="1:10" s="2" customFormat="1" hidden="1" x14ac:dyDescent="0.45">
      <c r="A68" s="67">
        <v>7</v>
      </c>
      <c r="B68" s="199" t="s">
        <v>101</v>
      </c>
      <c r="C68" s="77" t="s">
        <v>66</v>
      </c>
      <c r="D68" s="77"/>
      <c r="E68" s="256" t="str">
        <f t="shared" si="22"/>
        <v/>
      </c>
      <c r="F68" s="256" t="str">
        <f t="shared" si="23"/>
        <v/>
      </c>
      <c r="G68" s="159" t="str">
        <f t="shared" si="24"/>
        <v>rumus</v>
      </c>
      <c r="H68" s="77" t="s">
        <v>66</v>
      </c>
      <c r="I68" s="38"/>
      <c r="J68" s="27" t="str">
        <f t="shared" si="25"/>
        <v>rumus</v>
      </c>
    </row>
    <row r="69" spans="1:10" s="2" customFormat="1" hidden="1" x14ac:dyDescent="0.45">
      <c r="A69" s="67">
        <v>8</v>
      </c>
      <c r="B69" s="199" t="s">
        <v>101</v>
      </c>
      <c r="C69" s="77" t="s">
        <v>66</v>
      </c>
      <c r="D69" s="77"/>
      <c r="E69" s="256" t="str">
        <f t="shared" si="22"/>
        <v/>
      </c>
      <c r="F69" s="256" t="str">
        <f t="shared" si="23"/>
        <v/>
      </c>
      <c r="G69" s="159" t="str">
        <f t="shared" si="24"/>
        <v>rumus</v>
      </c>
      <c r="H69" s="77" t="s">
        <v>66</v>
      </c>
      <c r="I69" s="38"/>
      <c r="J69" s="27" t="str">
        <f t="shared" si="25"/>
        <v>rumus</v>
      </c>
    </row>
    <row r="70" spans="1:10" s="2" customFormat="1" hidden="1" x14ac:dyDescent="0.45">
      <c r="A70" s="67">
        <v>9</v>
      </c>
      <c r="B70" s="199" t="s">
        <v>101</v>
      </c>
      <c r="C70" s="77" t="s">
        <v>66</v>
      </c>
      <c r="D70" s="77"/>
      <c r="E70" s="256" t="str">
        <f t="shared" si="22"/>
        <v/>
      </c>
      <c r="F70" s="256" t="str">
        <f t="shared" si="23"/>
        <v/>
      </c>
      <c r="G70" s="159" t="str">
        <f t="shared" si="24"/>
        <v>rumus</v>
      </c>
      <c r="H70" s="77" t="s">
        <v>66</v>
      </c>
      <c r="I70" s="38"/>
      <c r="J70" s="27" t="str">
        <f t="shared" si="25"/>
        <v>rumus</v>
      </c>
    </row>
    <row r="71" spans="1:10" s="2" customFormat="1" hidden="1" x14ac:dyDescent="0.45">
      <c r="A71" s="67">
        <v>10</v>
      </c>
      <c r="B71" s="199" t="s">
        <v>101</v>
      </c>
      <c r="C71" s="77" t="s">
        <v>66</v>
      </c>
      <c r="D71" s="77"/>
      <c r="E71" s="256" t="str">
        <f t="shared" si="22"/>
        <v/>
      </c>
      <c r="F71" s="256" t="str">
        <f t="shared" si="23"/>
        <v/>
      </c>
      <c r="G71" s="159" t="str">
        <f t="shared" si="24"/>
        <v>rumus</v>
      </c>
      <c r="H71" s="77" t="s">
        <v>66</v>
      </c>
      <c r="I71" s="38"/>
      <c r="J71" s="27" t="str">
        <f t="shared" si="25"/>
        <v>rumus</v>
      </c>
    </row>
    <row r="72" spans="1:10" s="2" customFormat="1" x14ac:dyDescent="0.45">
      <c r="A72" s="68"/>
      <c r="B72" s="968" t="s">
        <v>67</v>
      </c>
      <c r="C72" s="969"/>
      <c r="D72" s="969"/>
      <c r="E72" s="969"/>
      <c r="F72" s="969"/>
      <c r="G72" s="43">
        <f>SUM(J62:J71)</f>
        <v>0</v>
      </c>
      <c r="H72" s="98"/>
    </row>
    <row r="73" spans="1:10" s="2" customFormat="1" x14ac:dyDescent="0.45">
      <c r="A73" s="85" t="s">
        <v>120</v>
      </c>
      <c r="B73" s="1089" t="s">
        <v>171</v>
      </c>
      <c r="C73" s="1090"/>
      <c r="D73" s="1090"/>
      <c r="E73" s="1090"/>
      <c r="F73" s="1090"/>
      <c r="G73" s="1090"/>
      <c r="H73" s="1091"/>
    </row>
    <row r="74" spans="1:10" s="2" customFormat="1" ht="15" hidden="1" customHeight="1" x14ac:dyDescent="0.45">
      <c r="A74" s="67">
        <v>1</v>
      </c>
      <c r="B74" s="199" t="s">
        <v>102</v>
      </c>
      <c r="C74" s="56" t="s">
        <v>66</v>
      </c>
      <c r="D74" s="56"/>
      <c r="E74" s="256" t="str">
        <f t="shared" ref="E74" si="26">IF(I74&lt;&gt;"",1,"")</f>
        <v/>
      </c>
      <c r="F74" s="256" t="str">
        <f t="shared" ref="F74" si="27">IF(I74&lt;&gt;"",J74,"")</f>
        <v/>
      </c>
      <c r="G74" s="159" t="str">
        <f t="shared" ref="G74" si="28">IF(J74&lt;&gt;"rumus","1 x "&amp;J74&amp;" = "&amp;J74,"rumus")</f>
        <v>rumus</v>
      </c>
      <c r="H74" s="56" t="s">
        <v>66</v>
      </c>
      <c r="I74" s="38"/>
      <c r="J74" s="27" t="str">
        <f>IF(I74="Membuat/menulis karya pengabdian",3,"rumus")</f>
        <v>rumus</v>
      </c>
    </row>
    <row r="75" spans="1:10" s="2" customFormat="1" hidden="1" x14ac:dyDescent="0.45">
      <c r="A75" s="67">
        <v>2</v>
      </c>
      <c r="B75" s="199" t="s">
        <v>102</v>
      </c>
      <c r="C75" s="56" t="s">
        <v>66</v>
      </c>
      <c r="D75" s="56"/>
      <c r="E75" s="256" t="str">
        <f t="shared" ref="E75:E83" si="29">IF(I75&lt;&gt;"",1,"")</f>
        <v/>
      </c>
      <c r="F75" s="256" t="str">
        <f t="shared" ref="F75:F83" si="30">IF(I75&lt;&gt;"",J75,"")</f>
        <v/>
      </c>
      <c r="G75" s="159" t="str">
        <f t="shared" ref="G75:G83" si="31">IF(J75&lt;&gt;"rumus","1 x "&amp;J75&amp;" = "&amp;J75,"rumus")</f>
        <v>rumus</v>
      </c>
      <c r="H75" s="56" t="s">
        <v>66</v>
      </c>
      <c r="I75" s="38"/>
      <c r="J75" s="27" t="str">
        <f t="shared" ref="J75:J83" si="32">IF(I75="Membuat/menulis karya pengabdian",3,"rumus")</f>
        <v>rumus</v>
      </c>
    </row>
    <row r="76" spans="1:10" s="2" customFormat="1" hidden="1" x14ac:dyDescent="0.45">
      <c r="A76" s="67">
        <v>3</v>
      </c>
      <c r="B76" s="199" t="s">
        <v>102</v>
      </c>
      <c r="C76" s="56" t="s">
        <v>66</v>
      </c>
      <c r="D76" s="56"/>
      <c r="E76" s="256" t="str">
        <f t="shared" si="29"/>
        <v/>
      </c>
      <c r="F76" s="256" t="str">
        <f t="shared" si="30"/>
        <v/>
      </c>
      <c r="G76" s="159" t="str">
        <f t="shared" si="31"/>
        <v>rumus</v>
      </c>
      <c r="H76" s="56" t="s">
        <v>66</v>
      </c>
      <c r="I76" s="38"/>
      <c r="J76" s="27" t="str">
        <f t="shared" si="32"/>
        <v>rumus</v>
      </c>
    </row>
    <row r="77" spans="1:10" s="2" customFormat="1" hidden="1" x14ac:dyDescent="0.45">
      <c r="A77" s="67">
        <v>4</v>
      </c>
      <c r="B77" s="199" t="s">
        <v>102</v>
      </c>
      <c r="C77" s="56" t="s">
        <v>66</v>
      </c>
      <c r="D77" s="56"/>
      <c r="E77" s="256" t="str">
        <f t="shared" si="29"/>
        <v/>
      </c>
      <c r="F77" s="256" t="str">
        <f t="shared" si="30"/>
        <v/>
      </c>
      <c r="G77" s="159" t="str">
        <f t="shared" si="31"/>
        <v>rumus</v>
      </c>
      <c r="H77" s="56" t="s">
        <v>66</v>
      </c>
      <c r="I77" s="38"/>
      <c r="J77" s="27" t="str">
        <f t="shared" si="32"/>
        <v>rumus</v>
      </c>
    </row>
    <row r="78" spans="1:10" s="2" customFormat="1" hidden="1" x14ac:dyDescent="0.45">
      <c r="A78" s="67">
        <v>5</v>
      </c>
      <c r="B78" s="199" t="s">
        <v>102</v>
      </c>
      <c r="C78" s="56" t="s">
        <v>66</v>
      </c>
      <c r="D78" s="56"/>
      <c r="E78" s="256" t="str">
        <f t="shared" si="29"/>
        <v/>
      </c>
      <c r="F78" s="256" t="str">
        <f t="shared" si="30"/>
        <v/>
      </c>
      <c r="G78" s="159" t="str">
        <f t="shared" si="31"/>
        <v>rumus</v>
      </c>
      <c r="H78" s="56" t="s">
        <v>66</v>
      </c>
      <c r="I78" s="38"/>
      <c r="J78" s="27" t="str">
        <f t="shared" si="32"/>
        <v>rumus</v>
      </c>
    </row>
    <row r="79" spans="1:10" s="2" customFormat="1" hidden="1" x14ac:dyDescent="0.45">
      <c r="A79" s="67">
        <v>6</v>
      </c>
      <c r="B79" s="199" t="s">
        <v>102</v>
      </c>
      <c r="C79" s="56" t="s">
        <v>66</v>
      </c>
      <c r="D79" s="56"/>
      <c r="E79" s="256" t="str">
        <f t="shared" si="29"/>
        <v/>
      </c>
      <c r="F79" s="256" t="str">
        <f t="shared" si="30"/>
        <v/>
      </c>
      <c r="G79" s="159" t="str">
        <f t="shared" si="31"/>
        <v>rumus</v>
      </c>
      <c r="H79" s="56" t="s">
        <v>66</v>
      </c>
      <c r="I79" s="38"/>
      <c r="J79" s="27" t="str">
        <f t="shared" si="32"/>
        <v>rumus</v>
      </c>
    </row>
    <row r="80" spans="1:10" s="2" customFormat="1" hidden="1" x14ac:dyDescent="0.45">
      <c r="A80" s="67">
        <v>7</v>
      </c>
      <c r="B80" s="199" t="s">
        <v>102</v>
      </c>
      <c r="C80" s="56" t="s">
        <v>66</v>
      </c>
      <c r="D80" s="56"/>
      <c r="E80" s="256" t="str">
        <f t="shared" si="29"/>
        <v/>
      </c>
      <c r="F80" s="256" t="str">
        <f t="shared" si="30"/>
        <v/>
      </c>
      <c r="G80" s="159" t="str">
        <f t="shared" si="31"/>
        <v>rumus</v>
      </c>
      <c r="H80" s="56" t="s">
        <v>66</v>
      </c>
      <c r="I80" s="38"/>
      <c r="J80" s="27" t="str">
        <f t="shared" si="32"/>
        <v>rumus</v>
      </c>
    </row>
    <row r="81" spans="1:10" s="2" customFormat="1" hidden="1" x14ac:dyDescent="0.45">
      <c r="A81" s="67">
        <v>8</v>
      </c>
      <c r="B81" s="199" t="s">
        <v>102</v>
      </c>
      <c r="C81" s="56" t="s">
        <v>66</v>
      </c>
      <c r="D81" s="56"/>
      <c r="E81" s="256" t="str">
        <f t="shared" si="29"/>
        <v/>
      </c>
      <c r="F81" s="256" t="str">
        <f t="shared" si="30"/>
        <v/>
      </c>
      <c r="G81" s="159" t="str">
        <f t="shared" si="31"/>
        <v>rumus</v>
      </c>
      <c r="H81" s="56" t="s">
        <v>66</v>
      </c>
      <c r="I81" s="38"/>
      <c r="J81" s="27" t="str">
        <f t="shared" si="32"/>
        <v>rumus</v>
      </c>
    </row>
    <row r="82" spans="1:10" s="2" customFormat="1" hidden="1" x14ac:dyDescent="0.45">
      <c r="A82" s="67">
        <v>9</v>
      </c>
      <c r="B82" s="199" t="s">
        <v>102</v>
      </c>
      <c r="C82" s="56" t="s">
        <v>66</v>
      </c>
      <c r="D82" s="56"/>
      <c r="E82" s="256" t="str">
        <f t="shared" si="29"/>
        <v/>
      </c>
      <c r="F82" s="256" t="str">
        <f t="shared" si="30"/>
        <v/>
      </c>
      <c r="G82" s="159" t="str">
        <f t="shared" si="31"/>
        <v>rumus</v>
      </c>
      <c r="H82" s="56" t="s">
        <v>66</v>
      </c>
      <c r="I82" s="38"/>
      <c r="J82" s="27" t="str">
        <f t="shared" si="32"/>
        <v>rumus</v>
      </c>
    </row>
    <row r="83" spans="1:10" s="2" customFormat="1" hidden="1" x14ac:dyDescent="0.45">
      <c r="A83" s="67">
        <v>10</v>
      </c>
      <c r="B83" s="199" t="s">
        <v>102</v>
      </c>
      <c r="C83" s="56" t="s">
        <v>66</v>
      </c>
      <c r="D83" s="56"/>
      <c r="E83" s="256" t="str">
        <f t="shared" si="29"/>
        <v/>
      </c>
      <c r="F83" s="256" t="str">
        <f t="shared" si="30"/>
        <v/>
      </c>
      <c r="G83" s="159" t="str">
        <f t="shared" si="31"/>
        <v>rumus</v>
      </c>
      <c r="H83" s="56" t="s">
        <v>66</v>
      </c>
      <c r="I83" s="38"/>
      <c r="J83" s="27" t="str">
        <f t="shared" si="32"/>
        <v>rumus</v>
      </c>
    </row>
    <row r="84" spans="1:10" s="2" customFormat="1" x14ac:dyDescent="0.45">
      <c r="A84" s="68"/>
      <c r="B84" s="968" t="s">
        <v>67</v>
      </c>
      <c r="C84" s="969"/>
      <c r="D84" s="969"/>
      <c r="E84" s="969"/>
      <c r="F84" s="969"/>
      <c r="G84" s="43">
        <f>SUM(J74:J83)</f>
        <v>0</v>
      </c>
      <c r="H84" s="98"/>
    </row>
    <row r="85" spans="1:10" s="2" customFormat="1" x14ac:dyDescent="0.45">
      <c r="A85" s="68"/>
      <c r="B85" s="968" t="s">
        <v>183</v>
      </c>
      <c r="C85" s="969"/>
      <c r="D85" s="969"/>
      <c r="E85" s="969"/>
      <c r="F85" s="969"/>
      <c r="G85" s="43">
        <f>G36+G48+G60+G72+G84</f>
        <v>7</v>
      </c>
      <c r="H85" s="98"/>
      <c r="I85" s="189"/>
    </row>
    <row r="86" spans="1:10" s="2" customFormat="1" x14ac:dyDescent="0.45">
      <c r="A86" s="1085" t="s">
        <v>53</v>
      </c>
      <c r="B86" s="1085"/>
      <c r="C86" s="1085"/>
      <c r="D86" s="1085"/>
      <c r="E86" s="1085"/>
      <c r="F86" s="1085"/>
      <c r="G86" s="1085"/>
      <c r="H86" s="1085"/>
    </row>
    <row r="87" spans="1:10" s="2" customFormat="1" x14ac:dyDescent="0.45">
      <c r="A87" s="985"/>
      <c r="B87" s="985"/>
      <c r="C87" s="985"/>
      <c r="D87" s="985"/>
      <c r="E87" s="985"/>
      <c r="F87" s="985"/>
      <c r="G87" s="985"/>
      <c r="H87" s="985"/>
    </row>
    <row r="88" spans="1:10" s="2" customFormat="1" ht="15" customHeight="1" x14ac:dyDescent="0.45">
      <c r="F88" s="183" t="s">
        <v>250</v>
      </c>
      <c r="G88" s="182" t="str">
        <f ca="1">"      "&amp;TEXT(TODAY()," mmmm yyyy")</f>
        <v xml:space="preserve">       January 2019</v>
      </c>
    </row>
    <row r="89" spans="1:10" s="2" customFormat="1" ht="15" customHeight="1" x14ac:dyDescent="0.45">
      <c r="E89" s="988" t="str">
        <f>'LAMPIRAN III DONE'!F190</f>
        <v>Ketua Program Studi D3 Teknik Komputer Fakultas Ilmu Terapan</v>
      </c>
      <c r="F89" s="988"/>
      <c r="G89" s="988"/>
      <c r="H89" s="988"/>
    </row>
    <row r="90" spans="1:10" x14ac:dyDescent="0.45">
      <c r="E90" s="988"/>
      <c r="F90" s="988"/>
      <c r="G90" s="988"/>
      <c r="H90" s="988"/>
    </row>
    <row r="91" spans="1:10" ht="15" customHeight="1" x14ac:dyDescent="0.45">
      <c r="E91" s="11"/>
      <c r="F91" s="11"/>
      <c r="G91" s="11"/>
      <c r="H91" s="11"/>
    </row>
    <row r="95" spans="1:10" x14ac:dyDescent="0.45">
      <c r="E95" s="987" t="str">
        <f>'LAMPIRAN II DONE'!G1168</f>
        <v>Setia Juli Irzal Ismail</v>
      </c>
      <c r="F95" s="987"/>
      <c r="G95" s="987"/>
      <c r="H95" s="987"/>
    </row>
    <row r="97" spans="1:8" s="2" customFormat="1" x14ac:dyDescent="0.45">
      <c r="A97" s="986" t="s">
        <v>54</v>
      </c>
      <c r="B97" s="986"/>
      <c r="C97" s="986"/>
      <c r="D97" s="986"/>
      <c r="E97" s="986"/>
      <c r="F97" s="986"/>
      <c r="G97" s="986"/>
      <c r="H97" s="986"/>
    </row>
    <row r="98" spans="1:8" s="2" customFormat="1" x14ac:dyDescent="0.45">
      <c r="A98" s="986" t="s">
        <v>55</v>
      </c>
      <c r="B98" s="986"/>
      <c r="C98" s="986"/>
      <c r="D98" s="986"/>
      <c r="E98" s="986"/>
      <c r="F98" s="986"/>
      <c r="G98" s="986"/>
      <c r="H98" s="986"/>
    </row>
    <row r="99" spans="1:8" s="2" customFormat="1" x14ac:dyDescent="0.45">
      <c r="A99" s="986" t="s">
        <v>59</v>
      </c>
      <c r="B99" s="986"/>
      <c r="C99" s="986"/>
      <c r="D99" s="986"/>
      <c r="E99" s="986"/>
      <c r="F99" s="986"/>
      <c r="G99" s="986"/>
      <c r="H99" s="986"/>
    </row>
    <row r="100" spans="1:8" s="2" customFormat="1" x14ac:dyDescent="0.45">
      <c r="A100" s="983" t="s">
        <v>56</v>
      </c>
      <c r="B100" s="983"/>
      <c r="C100" s="983"/>
      <c r="D100" s="983"/>
      <c r="E100" s="983"/>
      <c r="F100" s="983"/>
      <c r="G100" s="983"/>
      <c r="H100" s="983"/>
    </row>
  </sheetData>
  <mergeCells count="35">
    <mergeCell ref="C16:H16"/>
    <mergeCell ref="C17:H17"/>
    <mergeCell ref="F6:H6"/>
    <mergeCell ref="C11:H11"/>
    <mergeCell ref="A15:H15"/>
    <mergeCell ref="C12:H12"/>
    <mergeCell ref="C13:H13"/>
    <mergeCell ref="A7:H7"/>
    <mergeCell ref="A8:H8"/>
    <mergeCell ref="A9:H9"/>
    <mergeCell ref="C10:H10"/>
    <mergeCell ref="C14:H14"/>
    <mergeCell ref="B36:F36"/>
    <mergeCell ref="B48:F48"/>
    <mergeCell ref="B60:F60"/>
    <mergeCell ref="B73:H73"/>
    <mergeCell ref="B37:H37"/>
    <mergeCell ref="B49:H49"/>
    <mergeCell ref="B72:F72"/>
    <mergeCell ref="B61:H61"/>
    <mergeCell ref="A21:H21"/>
    <mergeCell ref="C18:H18"/>
    <mergeCell ref="C19:H19"/>
    <mergeCell ref="C20:H20"/>
    <mergeCell ref="B25:H25"/>
    <mergeCell ref="A100:H100"/>
    <mergeCell ref="A98:H98"/>
    <mergeCell ref="A97:H97"/>
    <mergeCell ref="A99:H99"/>
    <mergeCell ref="E95:H95"/>
    <mergeCell ref="E89:H90"/>
    <mergeCell ref="A86:H86"/>
    <mergeCell ref="A87:H87"/>
    <mergeCell ref="B84:F84"/>
    <mergeCell ref="B85:F85"/>
  </mergeCells>
  <conditionalFormatting sqref="G26:G35 G38:G47 G50:G59 G62:G71 G74:G83">
    <cfRule type="expression" dxfId="226" priority="72">
      <formula>G26="rumus"</formula>
    </cfRule>
  </conditionalFormatting>
  <conditionalFormatting sqref="C10:D14 C16:D17 C19:D20">
    <cfRule type="expression" dxfId="225" priority="61">
      <formula>C10=""</formula>
    </cfRule>
  </conditionalFormatting>
  <conditionalFormatting sqref="C13:D13">
    <cfRule type="expression" dxfId="224" priority="58">
      <formula>C13=""</formula>
    </cfRule>
  </conditionalFormatting>
  <conditionalFormatting sqref="B40:B47 B51:B59">
    <cfRule type="expression" dxfId="223" priority="54">
      <formula>B40="kegiatan"</formula>
    </cfRule>
  </conditionalFormatting>
  <conditionalFormatting sqref="B26:B35 B62:B71">
    <cfRule type="expression" dxfId="222" priority="49">
      <formula>B26="posisi"</formula>
    </cfRule>
  </conditionalFormatting>
  <conditionalFormatting sqref="B74:B83">
    <cfRule type="expression" dxfId="221" priority="36">
      <formula>B74="karya"</formula>
    </cfRule>
  </conditionalFormatting>
  <conditionalFormatting sqref="G26:G35">
    <cfRule type="expression" dxfId="220" priority="23">
      <formula>G26="rumus"</formula>
    </cfRule>
  </conditionalFormatting>
  <conditionalFormatting sqref="G26:G35">
    <cfRule type="expression" dxfId="219" priority="22">
      <formula>G26="rumus"</formula>
    </cfRule>
  </conditionalFormatting>
  <conditionalFormatting sqref="G26:G35">
    <cfRule type="expression" dxfId="218" priority="21">
      <formula>G26="rumus"</formula>
    </cfRule>
  </conditionalFormatting>
  <conditionalFormatting sqref="G26:G35">
    <cfRule type="expression" dxfId="217" priority="20">
      <formula>G26="rumus"</formula>
    </cfRule>
  </conditionalFormatting>
  <conditionalFormatting sqref="G38:G47">
    <cfRule type="expression" dxfId="216" priority="19">
      <formula>G38="rumus"</formula>
    </cfRule>
  </conditionalFormatting>
  <conditionalFormatting sqref="G38:G47">
    <cfRule type="expression" dxfId="215" priority="18">
      <formula>G38="rumus"</formula>
    </cfRule>
  </conditionalFormatting>
  <conditionalFormatting sqref="G38:G47">
    <cfRule type="expression" dxfId="214" priority="17">
      <formula>G38="rumus"</formula>
    </cfRule>
  </conditionalFormatting>
  <conditionalFormatting sqref="G38:G47">
    <cfRule type="expression" dxfId="213" priority="16">
      <formula>G38="rumus"</formula>
    </cfRule>
  </conditionalFormatting>
  <conditionalFormatting sqref="G50:G59">
    <cfRule type="expression" dxfId="212" priority="15">
      <formula>G50="rumus"</formula>
    </cfRule>
  </conditionalFormatting>
  <conditionalFormatting sqref="G50:G59">
    <cfRule type="expression" dxfId="211" priority="14">
      <formula>G50="rumus"</formula>
    </cfRule>
  </conditionalFormatting>
  <conditionalFormatting sqref="G50:G59">
    <cfRule type="expression" dxfId="210" priority="13">
      <formula>G50="rumus"</formula>
    </cfRule>
  </conditionalFormatting>
  <conditionalFormatting sqref="G50:G59">
    <cfRule type="expression" dxfId="209" priority="12">
      <formula>G50="rumus"</formula>
    </cfRule>
  </conditionalFormatting>
  <conditionalFormatting sqref="G62:G71">
    <cfRule type="expression" dxfId="208" priority="11">
      <formula>G62="rumus"</formula>
    </cfRule>
  </conditionalFormatting>
  <conditionalFormatting sqref="G62:G71">
    <cfRule type="expression" dxfId="207" priority="10">
      <formula>G62="rumus"</formula>
    </cfRule>
  </conditionalFormatting>
  <conditionalFormatting sqref="G62:G71">
    <cfRule type="expression" dxfId="206" priority="9">
      <formula>G62="rumus"</formula>
    </cfRule>
  </conditionalFormatting>
  <conditionalFormatting sqref="G62:G71">
    <cfRule type="expression" dxfId="205" priority="8">
      <formula>G62="rumus"</formula>
    </cfRule>
  </conditionalFormatting>
  <conditionalFormatting sqref="G74:G83">
    <cfRule type="expression" dxfId="204" priority="7">
      <formula>G74="rumus"</formula>
    </cfRule>
  </conditionalFormatting>
  <conditionalFormatting sqref="G74:G83">
    <cfRule type="expression" dxfId="203" priority="6">
      <formula>G74="rumus"</formula>
    </cfRule>
  </conditionalFormatting>
  <conditionalFormatting sqref="G74:G83">
    <cfRule type="expression" dxfId="202" priority="5">
      <formula>G74="rumus"</formula>
    </cfRule>
  </conditionalFormatting>
  <conditionalFormatting sqref="G74:G83">
    <cfRule type="expression" dxfId="201" priority="4">
      <formula>G74="rumus"</formula>
    </cfRule>
  </conditionalFormatting>
  <conditionalFormatting sqref="C18:D18">
    <cfRule type="expression" dxfId="200" priority="3">
      <formula>C18=""</formula>
    </cfRule>
  </conditionalFormatting>
  <conditionalFormatting sqref="B38:B39">
    <cfRule type="expression" dxfId="199" priority="2">
      <formula>B38="kegiatan"</formula>
    </cfRule>
  </conditionalFormatting>
  <conditionalFormatting sqref="B50">
    <cfRule type="expression" dxfId="198" priority="1">
      <formula>B50="kegiatan"</formula>
    </cfRule>
  </conditionalFormatting>
  <dataValidations xWindow="1048" yWindow="643" count="5">
    <dataValidation type="list" allowBlank="1" showInputMessage="1" showErrorMessage="1" prompt="pilih dengan mengklik segitiga dipojok kotak" sqref="I50:I59" xr:uid="{00000000-0002-0000-0400-000000000000}">
      <formula1>$S$1:$S$7</formula1>
    </dataValidation>
    <dataValidation type="list" allowBlank="1" showInputMessage="1" showErrorMessage="1" prompt="pilih dengan mengklik segitiga dipojok kotak" sqref="I74:I83" xr:uid="{00000000-0002-0000-0400-000001000000}">
      <formula1>"Membuat/menulis karya pengabdian"</formula1>
    </dataValidation>
    <dataValidation type="list" allowBlank="1" showInputMessage="1" showErrorMessage="1" prompt="pilih dengan mengklik segitiga dipojok kotak" sqref="I62:I71" xr:uid="{00000000-0002-0000-0400-000002000000}">
      <formula1>"a.Berdasarkan bidang keahlian,b.Berdasarkan penugasan lembaga Perguruan Tinggi,c.Berdasarkan fungsi dan jabatan"</formula1>
    </dataValidation>
    <dataValidation type="list" allowBlank="1" showInputMessage="1" showErrorMessage="1" prompt="pilih dengan mengklik segitiga dipojok kotak" sqref="I26:I35" xr:uid="{00000000-0002-0000-0400-000003000000}">
      <formula1>"Menduduki jabatan pimpinan persemester"</formula1>
    </dataValidation>
    <dataValidation type="list" allowBlank="1" showInputMessage="1" showErrorMessage="1" prompt="pilih dengan mengklik segitiga dipojok kotak" sqref="I38:I47" xr:uid="{00000000-0002-0000-0400-000004000000}">
      <formula1>"Melaksanakan pengembangan perprogram"</formula1>
    </dataValidation>
  </dataValidations>
  <pageMargins left="0.25" right="0.25" top="0.75" bottom="0.75" header="0.3" footer="0.3"/>
  <pageSetup paperSize="9" scale="75" orientation="portrait" horizont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V174"/>
  <sheetViews>
    <sheetView showGridLines="0" topLeftCell="A111" zoomScale="70" zoomScaleNormal="70" workbookViewId="0">
      <selection activeCell="A113" sqref="A113:XFD119"/>
    </sheetView>
  </sheetViews>
  <sheetFormatPr defaultRowHeight="14.25" x14ac:dyDescent="0.45"/>
  <cols>
    <col min="1" max="1" width="5.53125" customWidth="1"/>
    <col min="2" max="2" width="36.265625" customWidth="1"/>
    <col min="3" max="3" width="22" bestFit="1" customWidth="1"/>
    <col min="4" max="4" width="17.73046875" customWidth="1"/>
    <col min="5" max="5" width="12.53125" customWidth="1"/>
    <col min="6" max="6" width="9.73046875" style="12" bestFit="1" customWidth="1"/>
    <col min="7" max="7" width="12.796875" customWidth="1"/>
    <col min="8" max="8" width="23.73046875" customWidth="1"/>
    <col min="9" max="9" width="57.73046875" customWidth="1"/>
    <col min="21" max="21" width="0" hidden="1" customWidth="1"/>
    <col min="22" max="22" width="9.19921875" hidden="1" customWidth="1"/>
  </cols>
  <sheetData>
    <row r="1" spans="1:22" x14ac:dyDescent="0.45">
      <c r="A1" s="18"/>
      <c r="B1" s="18"/>
      <c r="C1" s="18"/>
      <c r="D1" s="18"/>
      <c r="E1" s="18"/>
      <c r="F1" s="18" t="s">
        <v>265</v>
      </c>
      <c r="G1" s="18"/>
      <c r="H1" s="18"/>
      <c r="U1" t="s">
        <v>175</v>
      </c>
      <c r="V1" t="s">
        <v>92</v>
      </c>
    </row>
    <row r="2" spans="1:22" x14ac:dyDescent="0.45">
      <c r="A2" s="18"/>
      <c r="B2" s="18"/>
      <c r="C2" s="18"/>
      <c r="D2" s="18"/>
      <c r="E2" s="18"/>
      <c r="F2" s="18" t="s">
        <v>0</v>
      </c>
      <c r="G2" s="18"/>
      <c r="H2" s="18"/>
      <c r="U2" t="s">
        <v>176</v>
      </c>
      <c r="V2" t="s">
        <v>93</v>
      </c>
    </row>
    <row r="3" spans="1:22" x14ac:dyDescent="0.45">
      <c r="A3" s="18"/>
      <c r="B3" s="18"/>
      <c r="C3" s="18"/>
      <c r="D3" s="18"/>
      <c r="E3" s="18"/>
      <c r="F3" s="18" t="s">
        <v>1</v>
      </c>
      <c r="G3" s="18"/>
      <c r="H3" s="18"/>
      <c r="U3" t="s">
        <v>177</v>
      </c>
      <c r="V3" t="s">
        <v>94</v>
      </c>
    </row>
    <row r="4" spans="1:22" x14ac:dyDescent="0.45">
      <c r="A4" s="18"/>
      <c r="B4" s="18"/>
      <c r="C4" s="18"/>
      <c r="D4" s="18"/>
      <c r="E4" s="18"/>
      <c r="F4" s="18" t="s">
        <v>260</v>
      </c>
      <c r="G4" s="18"/>
      <c r="H4" s="18"/>
      <c r="U4" t="s">
        <v>178</v>
      </c>
      <c r="V4" t="s">
        <v>95</v>
      </c>
    </row>
    <row r="5" spans="1:22" x14ac:dyDescent="0.45">
      <c r="A5" s="18"/>
      <c r="B5" s="18"/>
      <c r="C5" s="18"/>
      <c r="D5" s="18"/>
      <c r="E5" s="18"/>
      <c r="F5" s="18" t="s">
        <v>259</v>
      </c>
      <c r="G5" s="18"/>
      <c r="H5" s="18"/>
      <c r="U5" t="s">
        <v>179</v>
      </c>
    </row>
    <row r="6" spans="1:22" ht="152.25" customHeight="1" x14ac:dyDescent="0.45">
      <c r="A6" s="18"/>
      <c r="B6" s="18"/>
      <c r="C6" s="18"/>
      <c r="D6" s="18"/>
      <c r="E6" s="18"/>
      <c r="F6" s="862" t="s">
        <v>261</v>
      </c>
      <c r="G6" s="862"/>
      <c r="H6" s="862"/>
      <c r="U6" t="s">
        <v>180</v>
      </c>
    </row>
    <row r="7" spans="1:22" s="2" customFormat="1" ht="15.75" x14ac:dyDescent="0.45">
      <c r="A7" s="990" t="s">
        <v>35</v>
      </c>
      <c r="B7" s="990"/>
      <c r="C7" s="990"/>
      <c r="D7" s="990"/>
      <c r="E7" s="990"/>
      <c r="F7" s="990"/>
      <c r="G7" s="990"/>
      <c r="H7" s="990"/>
    </row>
    <row r="8" spans="1:22" s="2" customFormat="1" ht="15.75" x14ac:dyDescent="0.45">
      <c r="A8" s="990" t="s">
        <v>262</v>
      </c>
      <c r="B8" s="990"/>
      <c r="C8" s="990"/>
      <c r="D8" s="990"/>
      <c r="E8" s="990"/>
      <c r="F8" s="990"/>
      <c r="G8" s="990"/>
      <c r="H8" s="990"/>
    </row>
    <row r="9" spans="1:22" s="2" customFormat="1" x14ac:dyDescent="0.45">
      <c r="A9" s="993" t="s">
        <v>37</v>
      </c>
      <c r="B9" s="993"/>
      <c r="C9" s="993"/>
      <c r="D9" s="993"/>
      <c r="E9" s="993"/>
      <c r="F9" s="993"/>
      <c r="G9" s="993"/>
      <c r="H9" s="993"/>
    </row>
    <row r="10" spans="1:22" s="2" customFormat="1" x14ac:dyDescent="0.45">
      <c r="A10" s="4">
        <v>1</v>
      </c>
      <c r="B10" s="194" t="s">
        <v>3</v>
      </c>
      <c r="C10" s="994" t="str">
        <f>IF('LAMPIRAN II DONE'!C11&lt;&gt;"",'LAMPIRAN II DONE'!C11,"")</f>
        <v>Setia Juli Irzal Ismail</v>
      </c>
      <c r="D10" s="981"/>
      <c r="E10" s="981"/>
      <c r="F10" s="981"/>
      <c r="G10" s="981"/>
      <c r="H10" s="982"/>
    </row>
    <row r="11" spans="1:22" s="2" customFormat="1" ht="15" customHeight="1" x14ac:dyDescent="0.45">
      <c r="A11" s="4">
        <v>2</v>
      </c>
      <c r="B11" s="194" t="s">
        <v>96</v>
      </c>
      <c r="C11" s="994">
        <f>IF('LAMPIRAN II DONE'!C12&lt;&gt;"",'LAMPIRAN II DONE'!C12,"")</f>
        <v>15780038</v>
      </c>
      <c r="D11" s="981"/>
      <c r="E11" s="981"/>
      <c r="F11" s="981"/>
      <c r="G11" s="981"/>
      <c r="H11" s="982"/>
    </row>
    <row r="12" spans="1:22" s="2" customFormat="1" ht="15" customHeight="1" x14ac:dyDescent="0.45">
      <c r="A12" s="4">
        <v>3</v>
      </c>
      <c r="B12" s="194" t="s">
        <v>39</v>
      </c>
      <c r="C12" s="994" t="str">
        <f>IF('LAMPIRAN II DONE'!C13&lt;&gt;"",'LAMPIRAN II DONE'!C13,"")</f>
        <v>-</v>
      </c>
      <c r="D12" s="981"/>
      <c r="E12" s="981"/>
      <c r="F12" s="981"/>
      <c r="G12" s="981"/>
      <c r="H12" s="982"/>
    </row>
    <row r="13" spans="1:22" s="2" customFormat="1" ht="15" customHeight="1" x14ac:dyDescent="0.45">
      <c r="A13" s="4">
        <v>4</v>
      </c>
      <c r="B13" s="194" t="s">
        <v>38</v>
      </c>
      <c r="C13" s="994" t="str">
        <f>IF('LAMPIRAN II DONE'!C14&lt;&gt;"",'LAMPIRAN II DONE'!C14,"")</f>
        <v>Tenaga Pengajar</v>
      </c>
      <c r="D13" s="981"/>
      <c r="E13" s="981"/>
      <c r="F13" s="981"/>
      <c r="G13" s="981"/>
      <c r="H13" s="982"/>
    </row>
    <row r="14" spans="1:22" s="2" customFormat="1" ht="15" customHeight="1" x14ac:dyDescent="0.45">
      <c r="A14" s="4">
        <v>5</v>
      </c>
      <c r="B14" s="194" t="s">
        <v>7</v>
      </c>
      <c r="C14" s="994" t="str">
        <f>IF('LAMPIRAN II DONE'!C15&lt;&gt;"",'LAMPIRAN II DONE'!C15,"")</f>
        <v>D3 Teknik Komputer Fakultas Ilmu Terapan di Universitas Telkom pada Kopertis Wilayah IV Jawa Barat dan Banten</v>
      </c>
      <c r="D14" s="981"/>
      <c r="E14" s="981"/>
      <c r="F14" s="981"/>
      <c r="G14" s="981"/>
      <c r="H14" s="982"/>
    </row>
    <row r="15" spans="1:22" s="2" customFormat="1" x14ac:dyDescent="0.45">
      <c r="A15" s="993" t="s">
        <v>61</v>
      </c>
      <c r="B15" s="993"/>
      <c r="C15" s="993"/>
      <c r="D15" s="993"/>
      <c r="E15" s="993"/>
      <c r="F15" s="993"/>
      <c r="G15" s="993"/>
      <c r="H15" s="993"/>
    </row>
    <row r="16" spans="1:22" s="2" customFormat="1" x14ac:dyDescent="0.45">
      <c r="A16" s="4">
        <v>1</v>
      </c>
      <c r="B16" s="196" t="s">
        <v>3</v>
      </c>
      <c r="C16" s="994" t="str">
        <f>IF('LAMPIRAN I DONE'!F15&lt;&gt;"",'LAMPIRAN I DONE'!F15,"")</f>
        <v>Simon Siregar</v>
      </c>
      <c r="D16" s="981"/>
      <c r="E16" s="981"/>
      <c r="F16" s="981"/>
      <c r="G16" s="981"/>
      <c r="H16" s="982"/>
    </row>
    <row r="17" spans="1:11" s="2" customFormat="1" ht="15" customHeight="1" x14ac:dyDescent="0.45">
      <c r="A17" s="4">
        <v>2</v>
      </c>
      <c r="B17" s="196" t="s">
        <v>96</v>
      </c>
      <c r="C17" s="994" t="str">
        <f>IF('LAMPIRAN I DONE'!F16&lt;&gt;"",'LAMPIRAN I DONE'!F16,"")</f>
        <v>410038203 / 14820015</v>
      </c>
      <c r="D17" s="981"/>
      <c r="E17" s="981"/>
      <c r="F17" s="981"/>
      <c r="G17" s="981"/>
      <c r="H17" s="982"/>
      <c r="I17" t="s">
        <v>68</v>
      </c>
      <c r="J17"/>
    </row>
    <row r="18" spans="1:11" s="2" customFormat="1" ht="15" customHeight="1" x14ac:dyDescent="0.45">
      <c r="A18" s="4">
        <v>3</v>
      </c>
      <c r="B18" s="196" t="s">
        <v>39</v>
      </c>
      <c r="C18" s="994" t="str">
        <f>IF('LAMPIRAN II DONE'!C19&lt;&gt;"",'LAMPIRAN II DONE'!C19,"")</f>
        <v>Penata / IIIC</v>
      </c>
      <c r="D18" s="981"/>
      <c r="E18" s="981"/>
      <c r="F18" s="981"/>
      <c r="G18" s="981"/>
      <c r="H18" s="982"/>
      <c r="I18" s="41"/>
      <c r="J18" s="41"/>
      <c r="K18" s="110"/>
    </row>
    <row r="19" spans="1:11" s="2" customFormat="1" ht="15" customHeight="1" x14ac:dyDescent="0.45">
      <c r="A19" s="4">
        <v>4</v>
      </c>
      <c r="B19" s="196" t="s">
        <v>40</v>
      </c>
      <c r="C19" s="994" t="str">
        <f>IF('LAMPIRAN I DONE'!F21&lt;&gt;"",'LAMPIRAN I DONE'!F21,"")</f>
        <v>Lektor</v>
      </c>
      <c r="D19" s="981"/>
      <c r="E19" s="981"/>
      <c r="F19" s="981"/>
      <c r="G19" s="981"/>
      <c r="H19" s="982"/>
      <c r="I19" s="16"/>
      <c r="J19" t="s">
        <v>69</v>
      </c>
    </row>
    <row r="20" spans="1:11" s="2" customFormat="1" ht="15" customHeight="1" x14ac:dyDescent="0.45">
      <c r="A20" s="4">
        <v>5</v>
      </c>
      <c r="B20" s="196" t="s">
        <v>7</v>
      </c>
      <c r="C20" s="994" t="str">
        <f>IF('LAMPIRAN I DONE'!F25&lt;&gt;"",'LAMPIRAN I DONE'!F25,"")</f>
        <v>D3 Teknik Komputer Fakultas Ilmu Terapan di Universitas Telkom pada Kopertis Wilayah IV Jawa Barat dan Banten</v>
      </c>
      <c r="D20" s="981"/>
      <c r="E20" s="981"/>
      <c r="F20" s="981"/>
      <c r="G20" s="981"/>
      <c r="H20" s="982"/>
      <c r="I20" s="17"/>
      <c r="J20" s="18" t="s">
        <v>71</v>
      </c>
    </row>
    <row r="21" spans="1:11" s="2" customFormat="1" x14ac:dyDescent="0.45">
      <c r="A21" s="992" t="s">
        <v>63</v>
      </c>
      <c r="B21" s="992"/>
      <c r="C21" s="992"/>
      <c r="D21" s="992"/>
      <c r="E21" s="992"/>
      <c r="F21" s="992"/>
      <c r="G21" s="992"/>
      <c r="H21" s="992"/>
      <c r="J21" s="556" t="s">
        <v>623</v>
      </c>
    </row>
    <row r="22" spans="1:11" s="2" customFormat="1" ht="45" customHeight="1" x14ac:dyDescent="0.45">
      <c r="A22" s="6" t="s">
        <v>42</v>
      </c>
      <c r="B22" s="195" t="s">
        <v>58</v>
      </c>
      <c r="C22" s="123" t="s">
        <v>45</v>
      </c>
      <c r="D22" s="123" t="s">
        <v>256</v>
      </c>
      <c r="E22" s="123" t="s">
        <v>257</v>
      </c>
      <c r="F22" s="123" t="s">
        <v>258</v>
      </c>
      <c r="G22" s="123" t="s">
        <v>46</v>
      </c>
      <c r="H22" s="123" t="s">
        <v>266</v>
      </c>
      <c r="J22" s="557" t="s">
        <v>614</v>
      </c>
    </row>
    <row r="23" spans="1:11" s="2" customFormat="1" x14ac:dyDescent="0.45">
      <c r="A23" s="128">
        <v>1</v>
      </c>
      <c r="B23" s="198">
        <v>2</v>
      </c>
      <c r="C23" s="198">
        <v>3</v>
      </c>
      <c r="D23" s="198">
        <v>4</v>
      </c>
      <c r="E23" s="198">
        <v>5</v>
      </c>
      <c r="F23" s="198">
        <v>6</v>
      </c>
      <c r="G23" s="198">
        <v>7</v>
      </c>
      <c r="H23" s="198">
        <v>8</v>
      </c>
    </row>
    <row r="24" spans="1:11" s="2" customFormat="1" x14ac:dyDescent="0.45">
      <c r="A24" s="123" t="s">
        <v>135</v>
      </c>
      <c r="B24" s="21" t="s">
        <v>136</v>
      </c>
      <c r="C24" s="121"/>
      <c r="D24" s="251"/>
      <c r="E24" s="121"/>
      <c r="F24" s="136"/>
      <c r="G24" s="121"/>
      <c r="H24" s="122"/>
    </row>
    <row r="25" spans="1:11" s="2" customFormat="1" x14ac:dyDescent="0.45">
      <c r="A25" s="85" t="s">
        <v>15</v>
      </c>
      <c r="B25" s="22" t="s">
        <v>27</v>
      </c>
      <c r="C25" s="23"/>
      <c r="D25" s="23"/>
      <c r="E25" s="23"/>
      <c r="F25" s="23"/>
      <c r="G25" s="23"/>
      <c r="H25" s="24"/>
    </row>
    <row r="26" spans="1:11" s="173" customFormat="1" ht="23.25" customHeight="1" x14ac:dyDescent="0.45">
      <c r="A26" s="174">
        <v>1</v>
      </c>
      <c r="B26" s="851" t="s">
        <v>985</v>
      </c>
      <c r="C26" s="850" t="s">
        <v>986</v>
      </c>
      <c r="D26" s="850" t="s">
        <v>270</v>
      </c>
      <c r="E26" s="256">
        <f t="shared" ref="E26" si="0">IF(I26&lt;&gt;"",1,"")</f>
        <v>1</v>
      </c>
      <c r="F26" s="256">
        <f>IF(I26&lt;&gt;"",J26,"")</f>
        <v>3</v>
      </c>
      <c r="G26" s="159" t="str">
        <f>IF(J26&lt;&gt;"rumus","1 x "&amp;J26&amp;" = "&amp;J26,"rumus")</f>
        <v>1 x 3 = 3</v>
      </c>
      <c r="H26" s="77" t="s">
        <v>271</v>
      </c>
      <c r="I26" s="180" t="s">
        <v>860</v>
      </c>
      <c r="J26" s="27">
        <f>IF(I26&lt;&gt;"",IF(I26="a.Sebagai Ketua/wakil ketua pertahun",3,IF(I26="b.Sebagai Anggota pertahun",2,"")),"rumus")</f>
        <v>3</v>
      </c>
    </row>
    <row r="27" spans="1:11" s="173" customFormat="1" hidden="1" x14ac:dyDescent="0.45">
      <c r="A27" s="174">
        <v>2</v>
      </c>
      <c r="B27" s="199" t="s">
        <v>98</v>
      </c>
      <c r="C27" s="77" t="s">
        <v>66</v>
      </c>
      <c r="D27" s="77"/>
      <c r="E27" s="256" t="str">
        <f t="shared" ref="E27:E35" si="1">IF(I27&lt;&gt;"",1,"")</f>
        <v/>
      </c>
      <c r="F27" s="256" t="str">
        <f t="shared" ref="F27:F35" si="2">IF(I27&lt;&gt;"",J27,"")</f>
        <v/>
      </c>
      <c r="G27" s="159" t="str">
        <f t="shared" ref="G27:G35" si="3">IF(J27&lt;&gt;"rumus","1 x "&amp;J27&amp;" = "&amp;J27,"rumus")</f>
        <v>rumus</v>
      </c>
      <c r="H27" s="77" t="s">
        <v>66</v>
      </c>
      <c r="I27" s="180"/>
      <c r="J27" s="27" t="str">
        <f t="shared" ref="J27:J35" si="4">IF(I27&lt;&gt;"",IF(I27="a.Sebagai Ketua/wakil ketua pertahun",3,IF(I27="b.Sebagai Anggota pertahun",2,"")),"rumus")</f>
        <v>rumus</v>
      </c>
    </row>
    <row r="28" spans="1:11" s="173" customFormat="1" hidden="1" x14ac:dyDescent="0.45">
      <c r="A28" s="174">
        <v>3</v>
      </c>
      <c r="B28" s="199" t="s">
        <v>98</v>
      </c>
      <c r="C28" s="77" t="s">
        <v>66</v>
      </c>
      <c r="D28" s="77"/>
      <c r="E28" s="256" t="str">
        <f t="shared" si="1"/>
        <v/>
      </c>
      <c r="F28" s="256" t="str">
        <f t="shared" si="2"/>
        <v/>
      </c>
      <c r="G28" s="159" t="str">
        <f t="shared" si="3"/>
        <v>rumus</v>
      </c>
      <c r="H28" s="77" t="s">
        <v>66</v>
      </c>
      <c r="I28" s="180"/>
      <c r="J28" s="27" t="str">
        <f t="shared" si="4"/>
        <v>rumus</v>
      </c>
    </row>
    <row r="29" spans="1:11" s="173" customFormat="1" hidden="1" x14ac:dyDescent="0.45">
      <c r="A29" s="174">
        <v>4</v>
      </c>
      <c r="B29" s="199" t="s">
        <v>98</v>
      </c>
      <c r="C29" s="77" t="s">
        <v>66</v>
      </c>
      <c r="D29" s="77"/>
      <c r="E29" s="256" t="str">
        <f t="shared" si="1"/>
        <v/>
      </c>
      <c r="F29" s="256" t="str">
        <f t="shared" si="2"/>
        <v/>
      </c>
      <c r="G29" s="159" t="str">
        <f t="shared" si="3"/>
        <v>rumus</v>
      </c>
      <c r="H29" s="77" t="s">
        <v>66</v>
      </c>
      <c r="I29" s="180"/>
      <c r="J29" s="27" t="str">
        <f t="shared" si="4"/>
        <v>rumus</v>
      </c>
    </row>
    <row r="30" spans="1:11" s="173" customFormat="1" hidden="1" x14ac:dyDescent="0.45">
      <c r="A30" s="174">
        <v>5</v>
      </c>
      <c r="B30" s="199" t="s">
        <v>98</v>
      </c>
      <c r="C30" s="77" t="s">
        <v>66</v>
      </c>
      <c r="D30" s="77"/>
      <c r="E30" s="256" t="str">
        <f t="shared" si="1"/>
        <v/>
      </c>
      <c r="F30" s="256" t="str">
        <f t="shared" si="2"/>
        <v/>
      </c>
      <c r="G30" s="159" t="str">
        <f t="shared" si="3"/>
        <v>rumus</v>
      </c>
      <c r="H30" s="77" t="s">
        <v>66</v>
      </c>
      <c r="I30" s="180"/>
      <c r="J30" s="27" t="str">
        <f t="shared" si="4"/>
        <v>rumus</v>
      </c>
    </row>
    <row r="31" spans="1:11" s="2" customFormat="1" hidden="1" x14ac:dyDescent="0.45">
      <c r="A31" s="174">
        <v>6</v>
      </c>
      <c r="B31" s="199" t="s">
        <v>98</v>
      </c>
      <c r="C31" s="77" t="s">
        <v>66</v>
      </c>
      <c r="D31" s="77"/>
      <c r="E31" s="256" t="str">
        <f t="shared" si="1"/>
        <v/>
      </c>
      <c r="F31" s="256" t="str">
        <f t="shared" si="2"/>
        <v/>
      </c>
      <c r="G31" s="159" t="str">
        <f t="shared" si="3"/>
        <v>rumus</v>
      </c>
      <c r="H31" s="77" t="s">
        <v>66</v>
      </c>
      <c r="I31" s="38"/>
      <c r="J31" s="27" t="str">
        <f t="shared" si="4"/>
        <v>rumus</v>
      </c>
    </row>
    <row r="32" spans="1:11" s="2" customFormat="1" hidden="1" x14ac:dyDescent="0.45">
      <c r="A32" s="174">
        <v>7</v>
      </c>
      <c r="B32" s="199" t="s">
        <v>98</v>
      </c>
      <c r="C32" s="77" t="s">
        <v>66</v>
      </c>
      <c r="D32" s="77"/>
      <c r="E32" s="256" t="str">
        <f t="shared" si="1"/>
        <v/>
      </c>
      <c r="F32" s="256" t="str">
        <f t="shared" si="2"/>
        <v/>
      </c>
      <c r="G32" s="159" t="str">
        <f t="shared" si="3"/>
        <v>rumus</v>
      </c>
      <c r="H32" s="77" t="s">
        <v>66</v>
      </c>
      <c r="I32" s="38"/>
      <c r="J32" s="27" t="str">
        <f t="shared" si="4"/>
        <v>rumus</v>
      </c>
    </row>
    <row r="33" spans="1:10" s="2" customFormat="1" hidden="1" x14ac:dyDescent="0.45">
      <c r="A33" s="174">
        <v>8</v>
      </c>
      <c r="B33" s="199" t="s">
        <v>98</v>
      </c>
      <c r="C33" s="77" t="s">
        <v>66</v>
      </c>
      <c r="D33" s="77"/>
      <c r="E33" s="256" t="str">
        <f t="shared" si="1"/>
        <v/>
      </c>
      <c r="F33" s="256" t="str">
        <f t="shared" si="2"/>
        <v/>
      </c>
      <c r="G33" s="159" t="str">
        <f t="shared" si="3"/>
        <v>rumus</v>
      </c>
      <c r="H33" s="77" t="s">
        <v>66</v>
      </c>
      <c r="I33" s="38"/>
      <c r="J33" s="27" t="str">
        <f t="shared" si="4"/>
        <v>rumus</v>
      </c>
    </row>
    <row r="34" spans="1:10" s="2" customFormat="1" hidden="1" x14ac:dyDescent="0.45">
      <c r="A34" s="174">
        <v>9</v>
      </c>
      <c r="B34" s="199" t="s">
        <v>98</v>
      </c>
      <c r="C34" s="77" t="s">
        <v>66</v>
      </c>
      <c r="D34" s="77"/>
      <c r="E34" s="256" t="str">
        <f t="shared" si="1"/>
        <v/>
      </c>
      <c r="F34" s="256" t="str">
        <f t="shared" si="2"/>
        <v/>
      </c>
      <c r="G34" s="159" t="str">
        <f t="shared" si="3"/>
        <v>rumus</v>
      </c>
      <c r="H34" s="77" t="s">
        <v>66</v>
      </c>
      <c r="I34" s="38"/>
      <c r="J34" s="27" t="str">
        <f t="shared" si="4"/>
        <v>rumus</v>
      </c>
    </row>
    <row r="35" spans="1:10" s="2" customFormat="1" hidden="1" x14ac:dyDescent="0.45">
      <c r="A35" s="174">
        <v>10</v>
      </c>
      <c r="B35" s="199" t="s">
        <v>98</v>
      </c>
      <c r="C35" s="77" t="s">
        <v>66</v>
      </c>
      <c r="D35" s="77"/>
      <c r="E35" s="256" t="str">
        <f t="shared" si="1"/>
        <v/>
      </c>
      <c r="F35" s="256" t="str">
        <f t="shared" si="2"/>
        <v/>
      </c>
      <c r="G35" s="159" t="str">
        <f t="shared" si="3"/>
        <v>rumus</v>
      </c>
      <c r="H35" s="77" t="s">
        <v>66</v>
      </c>
      <c r="I35" s="38"/>
      <c r="J35" s="27" t="str">
        <f t="shared" si="4"/>
        <v>rumus</v>
      </c>
    </row>
    <row r="36" spans="1:10" s="2" customFormat="1" x14ac:dyDescent="0.45">
      <c r="A36" s="100"/>
      <c r="B36" s="968" t="s">
        <v>67</v>
      </c>
      <c r="C36" s="969"/>
      <c r="D36" s="969"/>
      <c r="E36" s="969"/>
      <c r="F36" s="969"/>
      <c r="G36" s="43">
        <f>SUM(J26:J35)</f>
        <v>3</v>
      </c>
      <c r="H36" s="98"/>
    </row>
    <row r="37" spans="1:10" s="2" customFormat="1" x14ac:dyDescent="0.45">
      <c r="A37" s="85" t="s">
        <v>17</v>
      </c>
      <c r="B37" s="22" t="s">
        <v>90</v>
      </c>
      <c r="C37" s="23"/>
      <c r="D37" s="23"/>
      <c r="E37" s="23"/>
      <c r="F37" s="23"/>
      <c r="G37" s="23"/>
      <c r="H37" s="24"/>
    </row>
    <row r="38" spans="1:10" s="2" customFormat="1" hidden="1" x14ac:dyDescent="0.45">
      <c r="A38" s="108">
        <v>1</v>
      </c>
      <c r="B38" s="199" t="s">
        <v>98</v>
      </c>
      <c r="C38" s="77" t="s">
        <v>66</v>
      </c>
      <c r="D38" s="77"/>
      <c r="E38" s="256" t="str">
        <f t="shared" ref="E38" si="5">IF(I38&lt;&gt;"",1,"")</f>
        <v/>
      </c>
      <c r="F38" s="256" t="str">
        <f t="shared" ref="F38" si="6">IF(I38&lt;&gt;"",J38,"")</f>
        <v/>
      </c>
      <c r="G38" s="159" t="str">
        <f t="shared" ref="G38" si="7">IF(J38&lt;&gt;"rumus","1 x "&amp;J38&amp;" = "&amp;J38,"rumus")</f>
        <v>rumus</v>
      </c>
      <c r="H38" s="77" t="s">
        <v>66</v>
      </c>
      <c r="I38" s="38"/>
      <c r="J38" s="27" t="str">
        <f>IF(I38&lt;&gt;"",IF(I38="a.1).Panitia pusat sebagai Ketua/Wakil ketua",3,IF(I38="a.2).Panitia pusat sebagai Anggota",2,IF(I38="b.1).Panitia Daerah sebagai Ketua/Wakil Ketua",2,IF(I38="b.2).Panitia Daerah sebagai Anggota",1,"")))),"rumus")</f>
        <v>rumus</v>
      </c>
    </row>
    <row r="39" spans="1:10" s="2" customFormat="1" hidden="1" x14ac:dyDescent="0.45">
      <c r="A39" s="108">
        <v>2</v>
      </c>
      <c r="B39" s="199" t="s">
        <v>98</v>
      </c>
      <c r="C39" s="77" t="s">
        <v>66</v>
      </c>
      <c r="D39" s="77"/>
      <c r="E39" s="256" t="str">
        <f t="shared" ref="E39:E47" si="8">IF(I39&lt;&gt;"",1,"")</f>
        <v/>
      </c>
      <c r="F39" s="256" t="str">
        <f t="shared" ref="F39:F47" si="9">IF(I39&lt;&gt;"",J39,"")</f>
        <v/>
      </c>
      <c r="G39" s="159" t="str">
        <f t="shared" ref="G39:G47" si="10">IF(J39&lt;&gt;"rumus","1 x "&amp;J39&amp;" = "&amp;J39,"rumus")</f>
        <v>rumus</v>
      </c>
      <c r="H39" s="77" t="s">
        <v>66</v>
      </c>
      <c r="I39" s="38"/>
      <c r="J39" s="27" t="str">
        <f t="shared" ref="J39:J47" si="11">IF(I39&lt;&gt;"",IF(I39="a.1).Panitia pusat sebagai Ketua/Wakil ketua",3,IF(I39="a.2).Panitia pusat sebagai Anggota",2,IF(I39="b.1).Panitia Daerah sebagai Ketua/Wakil Ketua",2,IF(I39="b.2).Panitia Daerah sebagai Anggota",1,"")))),"rumus")</f>
        <v>rumus</v>
      </c>
    </row>
    <row r="40" spans="1:10" s="2" customFormat="1" hidden="1" x14ac:dyDescent="0.45">
      <c r="A40" s="108">
        <v>3</v>
      </c>
      <c r="B40" s="199" t="s">
        <v>98</v>
      </c>
      <c r="C40" s="77" t="s">
        <v>66</v>
      </c>
      <c r="D40" s="77"/>
      <c r="E40" s="256" t="str">
        <f t="shared" si="8"/>
        <v/>
      </c>
      <c r="F40" s="256" t="str">
        <f t="shared" si="9"/>
        <v/>
      </c>
      <c r="G40" s="159" t="str">
        <f t="shared" si="10"/>
        <v>rumus</v>
      </c>
      <c r="H40" s="77" t="s">
        <v>66</v>
      </c>
      <c r="I40" s="38"/>
      <c r="J40" s="27" t="str">
        <f t="shared" si="11"/>
        <v>rumus</v>
      </c>
    </row>
    <row r="41" spans="1:10" s="2" customFormat="1" hidden="1" x14ac:dyDescent="0.45">
      <c r="A41" s="108">
        <v>4</v>
      </c>
      <c r="B41" s="199" t="s">
        <v>98</v>
      </c>
      <c r="C41" s="77" t="s">
        <v>66</v>
      </c>
      <c r="D41" s="77"/>
      <c r="E41" s="256" t="str">
        <f t="shared" si="8"/>
        <v/>
      </c>
      <c r="F41" s="256" t="str">
        <f t="shared" si="9"/>
        <v/>
      </c>
      <c r="G41" s="159" t="str">
        <f t="shared" si="10"/>
        <v>rumus</v>
      </c>
      <c r="H41" s="77" t="s">
        <v>66</v>
      </c>
      <c r="I41" s="38"/>
      <c r="J41" s="27" t="str">
        <f t="shared" si="11"/>
        <v>rumus</v>
      </c>
    </row>
    <row r="42" spans="1:10" s="2" customFormat="1" hidden="1" x14ac:dyDescent="0.45">
      <c r="A42" s="108">
        <v>5</v>
      </c>
      <c r="B42" s="199" t="s">
        <v>98</v>
      </c>
      <c r="C42" s="77" t="s">
        <v>66</v>
      </c>
      <c r="D42" s="77"/>
      <c r="E42" s="256" t="str">
        <f t="shared" si="8"/>
        <v/>
      </c>
      <c r="F42" s="256" t="str">
        <f t="shared" si="9"/>
        <v/>
      </c>
      <c r="G42" s="159" t="str">
        <f t="shared" si="10"/>
        <v>rumus</v>
      </c>
      <c r="H42" s="77" t="s">
        <v>66</v>
      </c>
      <c r="I42" s="38"/>
      <c r="J42" s="27" t="str">
        <f t="shared" si="11"/>
        <v>rumus</v>
      </c>
    </row>
    <row r="43" spans="1:10" s="2" customFormat="1" hidden="1" x14ac:dyDescent="0.45">
      <c r="A43" s="108">
        <v>6</v>
      </c>
      <c r="B43" s="199" t="s">
        <v>98</v>
      </c>
      <c r="C43" s="77" t="s">
        <v>66</v>
      </c>
      <c r="D43" s="77"/>
      <c r="E43" s="256" t="str">
        <f t="shared" si="8"/>
        <v/>
      </c>
      <c r="F43" s="256" t="str">
        <f t="shared" si="9"/>
        <v/>
      </c>
      <c r="G43" s="159" t="str">
        <f t="shared" si="10"/>
        <v>rumus</v>
      </c>
      <c r="H43" s="77" t="s">
        <v>66</v>
      </c>
      <c r="I43" s="38"/>
      <c r="J43" s="27" t="str">
        <f t="shared" si="11"/>
        <v>rumus</v>
      </c>
    </row>
    <row r="44" spans="1:10" s="2" customFormat="1" hidden="1" x14ac:dyDescent="0.45">
      <c r="A44" s="108">
        <v>7</v>
      </c>
      <c r="B44" s="199" t="s">
        <v>98</v>
      </c>
      <c r="C44" s="77" t="s">
        <v>66</v>
      </c>
      <c r="D44" s="77"/>
      <c r="E44" s="256" t="str">
        <f t="shared" si="8"/>
        <v/>
      </c>
      <c r="F44" s="256" t="str">
        <f t="shared" si="9"/>
        <v/>
      </c>
      <c r="G44" s="159" t="str">
        <f t="shared" si="10"/>
        <v>rumus</v>
      </c>
      <c r="H44" s="77" t="s">
        <v>66</v>
      </c>
      <c r="I44" s="38"/>
      <c r="J44" s="27" t="str">
        <f t="shared" si="11"/>
        <v>rumus</v>
      </c>
    </row>
    <row r="45" spans="1:10" s="2" customFormat="1" hidden="1" x14ac:dyDescent="0.45">
      <c r="A45" s="108">
        <v>8</v>
      </c>
      <c r="B45" s="199" t="s">
        <v>98</v>
      </c>
      <c r="C45" s="77" t="s">
        <v>66</v>
      </c>
      <c r="D45" s="77"/>
      <c r="E45" s="256" t="str">
        <f t="shared" si="8"/>
        <v/>
      </c>
      <c r="F45" s="256" t="str">
        <f t="shared" si="9"/>
        <v/>
      </c>
      <c r="G45" s="159" t="str">
        <f t="shared" si="10"/>
        <v>rumus</v>
      </c>
      <c r="H45" s="77" t="s">
        <v>66</v>
      </c>
      <c r="I45" s="38"/>
      <c r="J45" s="27" t="str">
        <f t="shared" si="11"/>
        <v>rumus</v>
      </c>
    </row>
    <row r="46" spans="1:10" s="2" customFormat="1" hidden="1" x14ac:dyDescent="0.45">
      <c r="A46" s="108">
        <v>9</v>
      </c>
      <c r="B46" s="199" t="s">
        <v>98</v>
      </c>
      <c r="C46" s="77" t="s">
        <v>66</v>
      </c>
      <c r="D46" s="77"/>
      <c r="E46" s="256" t="str">
        <f t="shared" si="8"/>
        <v/>
      </c>
      <c r="F46" s="256" t="str">
        <f t="shared" si="9"/>
        <v/>
      </c>
      <c r="G46" s="159" t="str">
        <f t="shared" si="10"/>
        <v>rumus</v>
      </c>
      <c r="H46" s="77" t="s">
        <v>66</v>
      </c>
      <c r="I46" s="38"/>
      <c r="J46" s="27" t="str">
        <f t="shared" si="11"/>
        <v>rumus</v>
      </c>
    </row>
    <row r="47" spans="1:10" s="2" customFormat="1" hidden="1" x14ac:dyDescent="0.45">
      <c r="A47" s="108">
        <v>10</v>
      </c>
      <c r="B47" s="199" t="s">
        <v>98</v>
      </c>
      <c r="C47" s="77" t="s">
        <v>66</v>
      </c>
      <c r="D47" s="77"/>
      <c r="E47" s="256" t="str">
        <f t="shared" si="8"/>
        <v/>
      </c>
      <c r="F47" s="256" t="str">
        <f t="shared" si="9"/>
        <v/>
      </c>
      <c r="G47" s="159" t="str">
        <f t="shared" si="10"/>
        <v>rumus</v>
      </c>
      <c r="H47" s="77" t="s">
        <v>66</v>
      </c>
      <c r="I47" s="38"/>
      <c r="J47" s="27" t="str">
        <f t="shared" si="11"/>
        <v>rumus</v>
      </c>
    </row>
    <row r="48" spans="1:10" s="2" customFormat="1" x14ac:dyDescent="0.45">
      <c r="A48" s="100"/>
      <c r="B48" s="968" t="s">
        <v>67</v>
      </c>
      <c r="C48" s="969"/>
      <c r="D48" s="969"/>
      <c r="E48" s="969"/>
      <c r="F48" s="969"/>
      <c r="G48" s="43">
        <f>SUM(J38:J47)</f>
        <v>0</v>
      </c>
      <c r="H48" s="98"/>
    </row>
    <row r="49" spans="1:11" s="2" customFormat="1" x14ac:dyDescent="0.45">
      <c r="A49" s="85" t="s">
        <v>118</v>
      </c>
      <c r="B49" s="22" t="s">
        <v>174</v>
      </c>
      <c r="C49" s="23"/>
      <c r="D49" s="23"/>
      <c r="E49" s="23"/>
      <c r="F49" s="23"/>
      <c r="G49" s="23"/>
      <c r="H49" s="24"/>
    </row>
    <row r="50" spans="1:11" s="2" customFormat="1" hidden="1" x14ac:dyDescent="0.45">
      <c r="A50" s="108">
        <v>1</v>
      </c>
      <c r="B50" s="199" t="s">
        <v>98</v>
      </c>
      <c r="C50" s="77" t="s">
        <v>66</v>
      </c>
      <c r="D50" s="77"/>
      <c r="E50" s="256" t="str">
        <f t="shared" ref="E50" si="12">IF(I50&lt;&gt;"",1,"")</f>
        <v/>
      </c>
      <c r="F50" s="256" t="str">
        <f t="shared" ref="F50" si="13">IF(I50&lt;&gt;"",J50,"")</f>
        <v/>
      </c>
      <c r="G50" s="159" t="str">
        <f t="shared" ref="G50" si="14">IF(J50&lt;&gt;"rumus","1 x "&amp;J50&amp;" = "&amp;J50,"rumus")</f>
        <v>rumus</v>
      </c>
      <c r="H50" s="77" t="s">
        <v>66</v>
      </c>
      <c r="I50" s="38"/>
      <c r="J50" s="27" t="str">
        <f>IF(I50&lt;&gt;"",IF(I50="1) Tingkat Internasional Sebagai Pengurus",2,IF(I50="2) Tingkat Internasional Sebagai Anggota atas permintaan",1,IF(I50="3) Tingkat Internasional Sebagai Anggota",0.5,IF(I50="4) TINGKAT NASIONAL Sebagai PENGURUS",1.5,IF(I50="5) TINGKAT NASIONAL Sebagai ANGGOTA ATAS PERMINTAAN",1,IF(I50="6) TINGKAT NASIONAL Sebagai ANGGOTA",0.5,"")))))),"rumus")</f>
        <v>rumus</v>
      </c>
      <c r="K50"/>
    </row>
    <row r="51" spans="1:11" s="2" customFormat="1" hidden="1" x14ac:dyDescent="0.45">
      <c r="A51" s="108">
        <v>2</v>
      </c>
      <c r="B51" s="199" t="s">
        <v>98</v>
      </c>
      <c r="C51" s="77" t="s">
        <v>66</v>
      </c>
      <c r="D51" s="77"/>
      <c r="E51" s="256" t="str">
        <f t="shared" ref="E51:E59" si="15">IF(I51&lt;&gt;"",1,"")</f>
        <v/>
      </c>
      <c r="F51" s="256" t="str">
        <f t="shared" ref="F51:F59" si="16">IF(I51&lt;&gt;"",J51,"")</f>
        <v/>
      </c>
      <c r="G51" s="159" t="str">
        <f t="shared" ref="G51:G59" si="17">IF(J51&lt;&gt;"rumus","1 x "&amp;J51&amp;" = "&amp;J51,"rumus")</f>
        <v>rumus</v>
      </c>
      <c r="H51" s="77" t="s">
        <v>66</v>
      </c>
      <c r="I51" s="38"/>
      <c r="J51" s="27" t="str">
        <f t="shared" ref="J51:J59" si="18">IF(I51&lt;&gt;"",IF(I51="1) Tingkat Internasional Sebagai Pengurus",2,IF(I51="2) Tingkat Internasional Sebagai Anggota atas permintaan",1,IF(I51="3) Tingkat Internasional Sebagai Anggota",0.5,IF(I51="4) TINGKAT NASIONAL Sebagai PENGURUS",1.5,IF(I51="5) TINGKAT NASIONAL Sebagai ANGGOTA ATAS PERMINTAAN",1,IF(I51="6) TINGKAT NASIONAL Sebagai ANGGOTA",0.5,"")))))),"rumus")</f>
        <v>rumus</v>
      </c>
      <c r="K51"/>
    </row>
    <row r="52" spans="1:11" s="2" customFormat="1" hidden="1" x14ac:dyDescent="0.45">
      <c r="A52" s="108">
        <v>3</v>
      </c>
      <c r="B52" s="199" t="s">
        <v>98</v>
      </c>
      <c r="C52" s="77" t="s">
        <v>66</v>
      </c>
      <c r="D52" s="77"/>
      <c r="E52" s="256" t="str">
        <f t="shared" si="15"/>
        <v/>
      </c>
      <c r="F52" s="256" t="str">
        <f t="shared" si="16"/>
        <v/>
      </c>
      <c r="G52" s="159" t="str">
        <f t="shared" si="17"/>
        <v>rumus</v>
      </c>
      <c r="H52" s="77" t="s">
        <v>66</v>
      </c>
      <c r="I52" s="38"/>
      <c r="J52" s="27" t="str">
        <f t="shared" si="18"/>
        <v>rumus</v>
      </c>
      <c r="K52"/>
    </row>
    <row r="53" spans="1:11" s="2" customFormat="1" hidden="1" x14ac:dyDescent="0.45">
      <c r="A53" s="108">
        <v>4</v>
      </c>
      <c r="B53" s="199" t="s">
        <v>98</v>
      </c>
      <c r="C53" s="77" t="s">
        <v>66</v>
      </c>
      <c r="D53" s="77"/>
      <c r="E53" s="256" t="str">
        <f t="shared" si="15"/>
        <v/>
      </c>
      <c r="F53" s="256" t="str">
        <f t="shared" si="16"/>
        <v/>
      </c>
      <c r="G53" s="159" t="str">
        <f t="shared" si="17"/>
        <v>rumus</v>
      </c>
      <c r="H53" s="77" t="s">
        <v>66</v>
      </c>
      <c r="I53" s="38"/>
      <c r="J53" s="27" t="str">
        <f t="shared" si="18"/>
        <v>rumus</v>
      </c>
      <c r="K53"/>
    </row>
    <row r="54" spans="1:11" s="2" customFormat="1" hidden="1" x14ac:dyDescent="0.45">
      <c r="A54" s="108">
        <v>5</v>
      </c>
      <c r="B54" s="199" t="s">
        <v>98</v>
      </c>
      <c r="C54" s="77" t="s">
        <v>66</v>
      </c>
      <c r="D54" s="77"/>
      <c r="E54" s="256" t="str">
        <f t="shared" si="15"/>
        <v/>
      </c>
      <c r="F54" s="256" t="str">
        <f t="shared" si="16"/>
        <v/>
      </c>
      <c r="G54" s="159" t="str">
        <f t="shared" si="17"/>
        <v>rumus</v>
      </c>
      <c r="H54" s="77" t="s">
        <v>66</v>
      </c>
      <c r="I54" s="38"/>
      <c r="J54" s="27" t="str">
        <f t="shared" si="18"/>
        <v>rumus</v>
      </c>
      <c r="K54"/>
    </row>
    <row r="55" spans="1:11" s="2" customFormat="1" hidden="1" x14ac:dyDescent="0.45">
      <c r="A55" s="108">
        <v>6</v>
      </c>
      <c r="B55" s="199" t="s">
        <v>98</v>
      </c>
      <c r="C55" s="77" t="s">
        <v>66</v>
      </c>
      <c r="D55" s="77"/>
      <c r="E55" s="256" t="str">
        <f t="shared" si="15"/>
        <v/>
      </c>
      <c r="F55" s="256" t="str">
        <f t="shared" si="16"/>
        <v/>
      </c>
      <c r="G55" s="159" t="str">
        <f t="shared" si="17"/>
        <v>rumus</v>
      </c>
      <c r="H55" s="77" t="s">
        <v>66</v>
      </c>
      <c r="I55" s="38"/>
      <c r="J55" s="27" t="str">
        <f t="shared" si="18"/>
        <v>rumus</v>
      </c>
      <c r="K55"/>
    </row>
    <row r="56" spans="1:11" s="2" customFormat="1" hidden="1" x14ac:dyDescent="0.45">
      <c r="A56" s="108">
        <v>7</v>
      </c>
      <c r="B56" s="199" t="s">
        <v>98</v>
      </c>
      <c r="C56" s="77" t="s">
        <v>66</v>
      </c>
      <c r="D56" s="77"/>
      <c r="E56" s="256" t="str">
        <f t="shared" si="15"/>
        <v/>
      </c>
      <c r="F56" s="256" t="str">
        <f t="shared" si="16"/>
        <v/>
      </c>
      <c r="G56" s="159" t="str">
        <f t="shared" si="17"/>
        <v>rumus</v>
      </c>
      <c r="H56" s="77" t="s">
        <v>66</v>
      </c>
      <c r="I56" s="38"/>
      <c r="J56" s="27" t="str">
        <f t="shared" si="18"/>
        <v>rumus</v>
      </c>
      <c r="K56"/>
    </row>
    <row r="57" spans="1:11" s="2" customFormat="1" hidden="1" x14ac:dyDescent="0.45">
      <c r="A57" s="108">
        <v>8</v>
      </c>
      <c r="B57" s="199" t="s">
        <v>98</v>
      </c>
      <c r="C57" s="77" t="s">
        <v>66</v>
      </c>
      <c r="D57" s="77"/>
      <c r="E57" s="256" t="str">
        <f t="shared" si="15"/>
        <v/>
      </c>
      <c r="F57" s="256" t="str">
        <f t="shared" si="16"/>
        <v/>
      </c>
      <c r="G57" s="159" t="str">
        <f t="shared" si="17"/>
        <v>rumus</v>
      </c>
      <c r="H57" s="77" t="s">
        <v>66</v>
      </c>
      <c r="I57" s="38"/>
      <c r="J57" s="27" t="str">
        <f t="shared" si="18"/>
        <v>rumus</v>
      </c>
      <c r="K57"/>
    </row>
    <row r="58" spans="1:11" s="2" customFormat="1" hidden="1" x14ac:dyDescent="0.45">
      <c r="A58" s="108">
        <v>9</v>
      </c>
      <c r="B58" s="199" t="s">
        <v>98</v>
      </c>
      <c r="C58" s="77" t="s">
        <v>66</v>
      </c>
      <c r="D58" s="77"/>
      <c r="E58" s="256" t="str">
        <f t="shared" si="15"/>
        <v/>
      </c>
      <c r="F58" s="256" t="str">
        <f t="shared" si="16"/>
        <v/>
      </c>
      <c r="G58" s="159" t="str">
        <f t="shared" si="17"/>
        <v>rumus</v>
      </c>
      <c r="H58" s="77" t="s">
        <v>66</v>
      </c>
      <c r="I58" s="38"/>
      <c r="J58" s="27" t="str">
        <f t="shared" si="18"/>
        <v>rumus</v>
      </c>
      <c r="K58"/>
    </row>
    <row r="59" spans="1:11" s="2" customFormat="1" hidden="1" x14ac:dyDescent="0.45">
      <c r="A59" s="108">
        <v>10</v>
      </c>
      <c r="B59" s="199" t="s">
        <v>98</v>
      </c>
      <c r="C59" s="77" t="s">
        <v>66</v>
      </c>
      <c r="D59" s="77"/>
      <c r="E59" s="256" t="str">
        <f t="shared" si="15"/>
        <v/>
      </c>
      <c r="F59" s="256" t="str">
        <f t="shared" si="16"/>
        <v/>
      </c>
      <c r="G59" s="159" t="str">
        <f t="shared" si="17"/>
        <v>rumus</v>
      </c>
      <c r="H59" s="77" t="s">
        <v>66</v>
      </c>
      <c r="I59" s="38"/>
      <c r="J59" s="27" t="str">
        <f t="shared" si="18"/>
        <v>rumus</v>
      </c>
      <c r="K59"/>
    </row>
    <row r="60" spans="1:11" s="2" customFormat="1" x14ac:dyDescent="0.45">
      <c r="A60" s="100"/>
      <c r="B60" s="968" t="s">
        <v>67</v>
      </c>
      <c r="C60" s="969"/>
      <c r="D60" s="969"/>
      <c r="E60" s="969"/>
      <c r="F60" s="969"/>
      <c r="G60" s="43">
        <f>SUM(J50:J59)</f>
        <v>0</v>
      </c>
      <c r="H60" s="98"/>
      <c r="K60"/>
    </row>
    <row r="61" spans="1:11" s="2" customFormat="1" x14ac:dyDescent="0.45">
      <c r="A61" s="85" t="s">
        <v>119</v>
      </c>
      <c r="B61" s="22" t="s">
        <v>137</v>
      </c>
      <c r="C61" s="23"/>
      <c r="D61" s="23"/>
      <c r="E61" s="23"/>
      <c r="F61" s="23"/>
      <c r="G61" s="23"/>
      <c r="H61" s="24"/>
      <c r="K61"/>
    </row>
    <row r="62" spans="1:11" s="2" customFormat="1" hidden="1" x14ac:dyDescent="0.45">
      <c r="A62" s="108">
        <v>1</v>
      </c>
      <c r="B62" s="199" t="s">
        <v>98</v>
      </c>
      <c r="C62" s="77" t="s">
        <v>66</v>
      </c>
      <c r="D62" s="77"/>
      <c r="E62" s="256" t="str">
        <f t="shared" ref="E62:E71" si="19">IF(I62&lt;&gt;"",1,"")</f>
        <v/>
      </c>
      <c r="F62" s="256" t="str">
        <f t="shared" ref="F62:F71" si="20">IF(I62&lt;&gt;"",J62,"")</f>
        <v/>
      </c>
      <c r="G62" s="159" t="str">
        <f t="shared" ref="G62:G70" si="21">IF(J62&lt;&gt;"rumus","1 x "&amp;J62&amp;" = "&amp;J62,"rumus")</f>
        <v>rumus</v>
      </c>
      <c r="H62" s="77" t="s">
        <v>66</v>
      </c>
      <c r="I62" s="38"/>
      <c r="J62" s="27" t="str">
        <f>IF(I62="Tiap kepanitiaan ",1,"rumus")</f>
        <v>rumus</v>
      </c>
      <c r="K62"/>
    </row>
    <row r="63" spans="1:11" s="2" customFormat="1" hidden="1" x14ac:dyDescent="0.45">
      <c r="A63" s="108">
        <v>2</v>
      </c>
      <c r="B63" s="199" t="s">
        <v>98</v>
      </c>
      <c r="C63" s="77" t="s">
        <v>66</v>
      </c>
      <c r="D63" s="77"/>
      <c r="E63" s="256" t="str">
        <f t="shared" si="19"/>
        <v/>
      </c>
      <c r="F63" s="256" t="str">
        <f t="shared" si="20"/>
        <v/>
      </c>
      <c r="G63" s="159" t="str">
        <f t="shared" si="21"/>
        <v>rumus</v>
      </c>
      <c r="H63" s="77" t="s">
        <v>66</v>
      </c>
      <c r="I63" s="38"/>
      <c r="J63" s="27" t="str">
        <f t="shared" ref="J63:J71" si="22">IF(I63="Tiap kepanitiaan ",1,"rumus")</f>
        <v>rumus</v>
      </c>
      <c r="K63"/>
    </row>
    <row r="64" spans="1:11" s="2" customFormat="1" hidden="1" x14ac:dyDescent="0.45">
      <c r="A64" s="108">
        <v>3</v>
      </c>
      <c r="B64" s="199" t="s">
        <v>98</v>
      </c>
      <c r="C64" s="77" t="s">
        <v>66</v>
      </c>
      <c r="D64" s="77"/>
      <c r="E64" s="256" t="str">
        <f t="shared" si="19"/>
        <v/>
      </c>
      <c r="F64" s="256" t="str">
        <f t="shared" si="20"/>
        <v/>
      </c>
      <c r="G64" s="159" t="str">
        <f t="shared" si="21"/>
        <v>rumus</v>
      </c>
      <c r="H64" s="77" t="s">
        <v>66</v>
      </c>
      <c r="I64" s="38"/>
      <c r="J64" s="27" t="str">
        <f t="shared" si="22"/>
        <v>rumus</v>
      </c>
      <c r="K64"/>
    </row>
    <row r="65" spans="1:11" s="2" customFormat="1" hidden="1" x14ac:dyDescent="0.45">
      <c r="A65" s="108">
        <v>4</v>
      </c>
      <c r="B65" s="199" t="s">
        <v>98</v>
      </c>
      <c r="C65" s="77" t="s">
        <v>66</v>
      </c>
      <c r="D65" s="77"/>
      <c r="E65" s="256" t="str">
        <f t="shared" si="19"/>
        <v/>
      </c>
      <c r="F65" s="256" t="str">
        <f t="shared" si="20"/>
        <v/>
      </c>
      <c r="G65" s="159" t="str">
        <f t="shared" si="21"/>
        <v>rumus</v>
      </c>
      <c r="H65" s="77" t="s">
        <v>66</v>
      </c>
      <c r="I65" s="38"/>
      <c r="J65" s="27" t="str">
        <f t="shared" si="22"/>
        <v>rumus</v>
      </c>
      <c r="K65"/>
    </row>
    <row r="66" spans="1:11" s="2" customFormat="1" hidden="1" x14ac:dyDescent="0.45">
      <c r="A66" s="108">
        <v>5</v>
      </c>
      <c r="B66" s="199" t="s">
        <v>98</v>
      </c>
      <c r="C66" s="77" t="s">
        <v>66</v>
      </c>
      <c r="D66" s="77"/>
      <c r="E66" s="256" t="str">
        <f t="shared" si="19"/>
        <v/>
      </c>
      <c r="F66" s="256" t="str">
        <f t="shared" si="20"/>
        <v/>
      </c>
      <c r="G66" s="159" t="str">
        <f t="shared" si="21"/>
        <v>rumus</v>
      </c>
      <c r="H66" s="77" t="s">
        <v>66</v>
      </c>
      <c r="I66" s="38"/>
      <c r="J66" s="27" t="str">
        <f t="shared" si="22"/>
        <v>rumus</v>
      </c>
      <c r="K66"/>
    </row>
    <row r="67" spans="1:11" s="2" customFormat="1" hidden="1" x14ac:dyDescent="0.45">
      <c r="A67" s="108">
        <v>6</v>
      </c>
      <c r="B67" s="199" t="s">
        <v>98</v>
      </c>
      <c r="C67" s="77" t="s">
        <v>66</v>
      </c>
      <c r="D67" s="77"/>
      <c r="E67" s="256" t="str">
        <f t="shared" si="19"/>
        <v/>
      </c>
      <c r="F67" s="256" t="str">
        <f t="shared" si="20"/>
        <v/>
      </c>
      <c r="G67" s="159" t="str">
        <f t="shared" si="21"/>
        <v>rumus</v>
      </c>
      <c r="H67" s="77" t="s">
        <v>66</v>
      </c>
      <c r="I67" s="38"/>
      <c r="J67" s="27" t="str">
        <f t="shared" si="22"/>
        <v>rumus</v>
      </c>
      <c r="K67"/>
    </row>
    <row r="68" spans="1:11" s="2" customFormat="1" hidden="1" x14ac:dyDescent="0.45">
      <c r="A68" s="108">
        <v>7</v>
      </c>
      <c r="B68" s="199" t="s">
        <v>98</v>
      </c>
      <c r="C68" s="77" t="s">
        <v>66</v>
      </c>
      <c r="D68" s="77"/>
      <c r="E68" s="256" t="str">
        <f t="shared" si="19"/>
        <v/>
      </c>
      <c r="F68" s="256" t="str">
        <f t="shared" si="20"/>
        <v/>
      </c>
      <c r="G68" s="159" t="str">
        <f t="shared" si="21"/>
        <v>rumus</v>
      </c>
      <c r="H68" s="77" t="s">
        <v>66</v>
      </c>
      <c r="I68" s="38"/>
      <c r="J68" s="27" t="str">
        <f t="shared" si="22"/>
        <v>rumus</v>
      </c>
      <c r="K68"/>
    </row>
    <row r="69" spans="1:11" s="2" customFormat="1" hidden="1" x14ac:dyDescent="0.45">
      <c r="A69" s="108">
        <v>8</v>
      </c>
      <c r="B69" s="199" t="s">
        <v>98</v>
      </c>
      <c r="C69" s="77" t="s">
        <v>66</v>
      </c>
      <c r="D69" s="77"/>
      <c r="E69" s="256" t="str">
        <f t="shared" si="19"/>
        <v/>
      </c>
      <c r="F69" s="256" t="str">
        <f t="shared" si="20"/>
        <v/>
      </c>
      <c r="G69" s="159" t="str">
        <f t="shared" si="21"/>
        <v>rumus</v>
      </c>
      <c r="H69" s="77" t="s">
        <v>66</v>
      </c>
      <c r="I69" s="38"/>
      <c r="J69" s="27" t="str">
        <f t="shared" si="22"/>
        <v>rumus</v>
      </c>
      <c r="K69"/>
    </row>
    <row r="70" spans="1:11" s="2" customFormat="1" hidden="1" x14ac:dyDescent="0.45">
      <c r="A70" s="108">
        <v>9</v>
      </c>
      <c r="B70" s="199" t="s">
        <v>98</v>
      </c>
      <c r="C70" s="77" t="s">
        <v>66</v>
      </c>
      <c r="D70" s="77"/>
      <c r="E70" s="256" t="str">
        <f t="shared" si="19"/>
        <v/>
      </c>
      <c r="F70" s="256" t="str">
        <f t="shared" si="20"/>
        <v/>
      </c>
      <c r="G70" s="159" t="str">
        <f t="shared" si="21"/>
        <v>rumus</v>
      </c>
      <c r="H70" s="77" t="s">
        <v>66</v>
      </c>
      <c r="I70" s="38"/>
      <c r="J70" s="27" t="str">
        <f t="shared" si="22"/>
        <v>rumus</v>
      </c>
      <c r="K70"/>
    </row>
    <row r="71" spans="1:11" s="2" customFormat="1" hidden="1" x14ac:dyDescent="0.45">
      <c r="A71" s="108">
        <v>10</v>
      </c>
      <c r="B71" s="199" t="s">
        <v>98</v>
      </c>
      <c r="C71" s="77" t="s">
        <v>66</v>
      </c>
      <c r="D71" s="77"/>
      <c r="E71" s="256" t="str">
        <f t="shared" si="19"/>
        <v/>
      </c>
      <c r="F71" s="256" t="str">
        <f t="shared" si="20"/>
        <v/>
      </c>
      <c r="G71" s="159" t="str">
        <f>IF(J71&lt;&gt;"rumus","1 x "&amp;J71&amp;" = "&amp;J71,"rumus")</f>
        <v>rumus</v>
      </c>
      <c r="H71" s="77" t="s">
        <v>66</v>
      </c>
      <c r="I71" s="38"/>
      <c r="J71" s="27" t="str">
        <f t="shared" si="22"/>
        <v>rumus</v>
      </c>
      <c r="K71"/>
    </row>
    <row r="72" spans="1:11" s="2" customFormat="1" x14ac:dyDescent="0.45">
      <c r="A72" s="100"/>
      <c r="B72" s="968" t="s">
        <v>67</v>
      </c>
      <c r="C72" s="969"/>
      <c r="D72" s="969"/>
      <c r="E72" s="969"/>
      <c r="F72" s="969"/>
      <c r="G72" s="43">
        <f>SUM(J62:J71)</f>
        <v>0</v>
      </c>
      <c r="H72" s="98"/>
    </row>
    <row r="73" spans="1:11" s="2" customFormat="1" x14ac:dyDescent="0.45">
      <c r="A73" s="85" t="s">
        <v>120</v>
      </c>
      <c r="B73" s="22" t="s">
        <v>91</v>
      </c>
      <c r="C73" s="23"/>
      <c r="D73" s="23"/>
      <c r="E73" s="23"/>
      <c r="F73" s="23"/>
      <c r="G73" s="23"/>
      <c r="H73" s="24"/>
    </row>
    <row r="74" spans="1:11" s="2" customFormat="1" hidden="1" x14ac:dyDescent="0.45">
      <c r="A74" s="108">
        <v>1</v>
      </c>
      <c r="B74" s="199" t="s">
        <v>98</v>
      </c>
      <c r="C74" s="77" t="s">
        <v>66</v>
      </c>
      <c r="D74" s="77"/>
      <c r="E74" s="256" t="str">
        <f t="shared" ref="E74" si="23">IF(I74&lt;&gt;"",1,"")</f>
        <v/>
      </c>
      <c r="F74" s="256" t="str">
        <f t="shared" ref="F74" si="24">IF(I74&lt;&gt;"",J74,"")</f>
        <v/>
      </c>
      <c r="G74" s="159" t="str">
        <f>IF(J74&lt;&gt;"rumus","1 x "&amp;J74&amp;" = "&amp;J74,"rumus")</f>
        <v>rumus</v>
      </c>
      <c r="H74" s="77" t="s">
        <v>66</v>
      </c>
      <c r="I74" s="38"/>
      <c r="J74" s="27" t="str">
        <f>IF(I74&lt;&gt;"",IF(I74="a. Sebagai ketua delegasi",3,IF(I74="b. Sebagai anggota",2,"")),"rumus")</f>
        <v>rumus</v>
      </c>
    </row>
    <row r="75" spans="1:11" s="2" customFormat="1" hidden="1" x14ac:dyDescent="0.45">
      <c r="A75" s="108">
        <v>2</v>
      </c>
      <c r="B75" s="199" t="s">
        <v>98</v>
      </c>
      <c r="C75" s="77" t="s">
        <v>66</v>
      </c>
      <c r="D75" s="77"/>
      <c r="E75" s="256" t="str">
        <f t="shared" ref="E75:E83" si="25">IF(I75&lt;&gt;"",1,"")</f>
        <v/>
      </c>
      <c r="F75" s="256" t="str">
        <f t="shared" ref="F75:F83" si="26">IF(I75&lt;&gt;"",J75,"")</f>
        <v/>
      </c>
      <c r="G75" s="159" t="str">
        <f t="shared" ref="G75:G83" si="27">IF(J75&lt;&gt;"rumus","1 x "&amp;J75&amp;" = "&amp;J75,"rumus")</f>
        <v>rumus</v>
      </c>
      <c r="H75" s="77" t="s">
        <v>66</v>
      </c>
      <c r="I75" s="38"/>
      <c r="J75" s="27" t="str">
        <f t="shared" ref="J75:J83" si="28">IF(I75&lt;&gt;"",IF(I75="a. Sebagai ketua delegasi",3,IF(I75="b. Sebagai anggota",2,"")),"rumus")</f>
        <v>rumus</v>
      </c>
    </row>
    <row r="76" spans="1:11" s="2" customFormat="1" hidden="1" x14ac:dyDescent="0.45">
      <c r="A76" s="108">
        <v>3</v>
      </c>
      <c r="B76" s="199" t="s">
        <v>98</v>
      </c>
      <c r="C76" s="77" t="s">
        <v>66</v>
      </c>
      <c r="D76" s="77"/>
      <c r="E76" s="256" t="str">
        <f t="shared" si="25"/>
        <v/>
      </c>
      <c r="F76" s="256" t="str">
        <f t="shared" si="26"/>
        <v/>
      </c>
      <c r="G76" s="159" t="str">
        <f t="shared" si="27"/>
        <v>rumus</v>
      </c>
      <c r="H76" s="77" t="s">
        <v>66</v>
      </c>
      <c r="I76" s="38"/>
      <c r="J76" s="27" t="str">
        <f t="shared" si="28"/>
        <v>rumus</v>
      </c>
    </row>
    <row r="77" spans="1:11" s="2" customFormat="1" hidden="1" x14ac:dyDescent="0.45">
      <c r="A77" s="108">
        <v>4</v>
      </c>
      <c r="B77" s="199" t="s">
        <v>98</v>
      </c>
      <c r="C77" s="77" t="s">
        <v>66</v>
      </c>
      <c r="D77" s="77"/>
      <c r="E77" s="256" t="str">
        <f t="shared" si="25"/>
        <v/>
      </c>
      <c r="F77" s="256" t="str">
        <f t="shared" si="26"/>
        <v/>
      </c>
      <c r="G77" s="159" t="str">
        <f t="shared" si="27"/>
        <v>rumus</v>
      </c>
      <c r="H77" s="77" t="s">
        <v>66</v>
      </c>
      <c r="I77" s="38"/>
      <c r="J77" s="27" t="str">
        <f t="shared" si="28"/>
        <v>rumus</v>
      </c>
    </row>
    <row r="78" spans="1:11" s="2" customFormat="1" hidden="1" x14ac:dyDescent="0.45">
      <c r="A78" s="108">
        <v>5</v>
      </c>
      <c r="B78" s="199" t="s">
        <v>98</v>
      </c>
      <c r="C78" s="77" t="s">
        <v>66</v>
      </c>
      <c r="D78" s="77"/>
      <c r="E78" s="256" t="str">
        <f t="shared" si="25"/>
        <v/>
      </c>
      <c r="F78" s="256" t="str">
        <f t="shared" si="26"/>
        <v/>
      </c>
      <c r="G78" s="159" t="str">
        <f t="shared" si="27"/>
        <v>rumus</v>
      </c>
      <c r="H78" s="77" t="s">
        <v>66</v>
      </c>
      <c r="I78" s="38"/>
      <c r="J78" s="27" t="str">
        <f t="shared" si="28"/>
        <v>rumus</v>
      </c>
    </row>
    <row r="79" spans="1:11" s="2" customFormat="1" hidden="1" x14ac:dyDescent="0.45">
      <c r="A79" s="108">
        <v>6</v>
      </c>
      <c r="B79" s="199" t="s">
        <v>98</v>
      </c>
      <c r="C79" s="77" t="s">
        <v>66</v>
      </c>
      <c r="D79" s="77"/>
      <c r="E79" s="256" t="str">
        <f t="shared" si="25"/>
        <v/>
      </c>
      <c r="F79" s="256" t="str">
        <f t="shared" si="26"/>
        <v/>
      </c>
      <c r="G79" s="159" t="str">
        <f t="shared" si="27"/>
        <v>rumus</v>
      </c>
      <c r="H79" s="77" t="s">
        <v>66</v>
      </c>
      <c r="I79" s="38"/>
      <c r="J79" s="27" t="str">
        <f t="shared" si="28"/>
        <v>rumus</v>
      </c>
    </row>
    <row r="80" spans="1:11" s="2" customFormat="1" hidden="1" x14ac:dyDescent="0.45">
      <c r="A80" s="108">
        <v>7</v>
      </c>
      <c r="B80" s="199" t="s">
        <v>98</v>
      </c>
      <c r="C80" s="77" t="s">
        <v>66</v>
      </c>
      <c r="D80" s="77"/>
      <c r="E80" s="256" t="str">
        <f t="shared" si="25"/>
        <v/>
      </c>
      <c r="F80" s="256" t="str">
        <f t="shared" si="26"/>
        <v/>
      </c>
      <c r="G80" s="159" t="str">
        <f t="shared" si="27"/>
        <v>rumus</v>
      </c>
      <c r="H80" s="77" t="s">
        <v>66</v>
      </c>
      <c r="I80" s="38"/>
      <c r="J80" s="27" t="str">
        <f t="shared" si="28"/>
        <v>rumus</v>
      </c>
    </row>
    <row r="81" spans="1:11" s="2" customFormat="1" hidden="1" x14ac:dyDescent="0.45">
      <c r="A81" s="108">
        <v>8</v>
      </c>
      <c r="B81" s="199" t="s">
        <v>98</v>
      </c>
      <c r="C81" s="77" t="s">
        <v>66</v>
      </c>
      <c r="D81" s="77"/>
      <c r="E81" s="256" t="str">
        <f t="shared" si="25"/>
        <v/>
      </c>
      <c r="F81" s="256" t="str">
        <f t="shared" si="26"/>
        <v/>
      </c>
      <c r="G81" s="159" t="str">
        <f t="shared" si="27"/>
        <v>rumus</v>
      </c>
      <c r="H81" s="77" t="s">
        <v>66</v>
      </c>
      <c r="I81" s="38"/>
      <c r="J81" s="27" t="str">
        <f t="shared" si="28"/>
        <v>rumus</v>
      </c>
    </row>
    <row r="82" spans="1:11" s="2" customFormat="1" hidden="1" x14ac:dyDescent="0.45">
      <c r="A82" s="108">
        <v>9</v>
      </c>
      <c r="B82" s="199" t="s">
        <v>98</v>
      </c>
      <c r="C82" s="77" t="s">
        <v>66</v>
      </c>
      <c r="D82" s="77"/>
      <c r="E82" s="256" t="str">
        <f t="shared" si="25"/>
        <v/>
      </c>
      <c r="F82" s="256" t="str">
        <f t="shared" si="26"/>
        <v/>
      </c>
      <c r="G82" s="159" t="str">
        <f t="shared" si="27"/>
        <v>rumus</v>
      </c>
      <c r="H82" s="77" t="s">
        <v>66</v>
      </c>
      <c r="I82" s="38"/>
      <c r="J82" s="27" t="str">
        <f t="shared" si="28"/>
        <v>rumus</v>
      </c>
    </row>
    <row r="83" spans="1:11" s="2" customFormat="1" hidden="1" x14ac:dyDescent="0.45">
      <c r="A83" s="108">
        <v>10</v>
      </c>
      <c r="B83" s="199" t="s">
        <v>98</v>
      </c>
      <c r="C83" s="77" t="s">
        <v>66</v>
      </c>
      <c r="D83" s="77"/>
      <c r="E83" s="256" t="str">
        <f t="shared" si="25"/>
        <v/>
      </c>
      <c r="F83" s="256" t="str">
        <f t="shared" si="26"/>
        <v/>
      </c>
      <c r="G83" s="159" t="str">
        <f t="shared" si="27"/>
        <v>rumus</v>
      </c>
      <c r="H83" s="77" t="s">
        <v>66</v>
      </c>
      <c r="I83" s="38"/>
      <c r="J83" s="27" t="str">
        <f t="shared" si="28"/>
        <v>rumus</v>
      </c>
    </row>
    <row r="84" spans="1:11" s="2" customFormat="1" x14ac:dyDescent="0.45">
      <c r="A84" s="100"/>
      <c r="B84" s="968" t="s">
        <v>67</v>
      </c>
      <c r="C84" s="969"/>
      <c r="D84" s="969"/>
      <c r="E84" s="969"/>
      <c r="F84" s="969"/>
      <c r="G84" s="43">
        <f>SUM(J74:J83)</f>
        <v>0</v>
      </c>
      <c r="H84" s="98"/>
    </row>
    <row r="85" spans="1:11" s="2" customFormat="1" x14ac:dyDescent="0.45">
      <c r="A85" s="85" t="s">
        <v>121</v>
      </c>
      <c r="B85" s="22" t="s">
        <v>295</v>
      </c>
      <c r="C85" s="23"/>
      <c r="D85" s="23"/>
      <c r="E85" s="23"/>
      <c r="F85" s="23"/>
      <c r="G85" s="23"/>
      <c r="H85" s="24"/>
    </row>
    <row r="86" spans="1:11" s="173" customFormat="1" hidden="1" x14ac:dyDescent="0.45">
      <c r="A86" s="174">
        <v>1</v>
      </c>
      <c r="B86" s="199" t="s">
        <v>98</v>
      </c>
      <c r="C86" s="77" t="s">
        <v>66</v>
      </c>
      <c r="D86" s="77"/>
      <c r="E86" s="256" t="str">
        <f t="shared" ref="E86:E95" si="29">IF(I86&lt;&gt;"",1,"")</f>
        <v/>
      </c>
      <c r="F86" s="256" t="str">
        <f t="shared" ref="F86:F95" si="30">IF(I86&lt;&gt;"",J86,"")</f>
        <v/>
      </c>
      <c r="G86" s="159" t="str">
        <f t="shared" ref="G86:G95" si="31">IF(J86&lt;&gt;"rumus","1 x "&amp;J86&amp;" = "&amp;J86,"rumus")</f>
        <v>rumus</v>
      </c>
      <c r="H86" s="77" t="s">
        <v>66</v>
      </c>
      <c r="I86" s="180"/>
      <c r="J86" s="27" t="str">
        <f>IF(I86&lt;&gt;"",IF(I86="Editor/dewan penyunting/dewan redaksi jurnal ilmiah internasional",4,IF(I86="Editor/dewan penyunting/dewan redaksi jurnal ilmiah nasional",2,"")),"rumus")</f>
        <v>rumus</v>
      </c>
      <c r="K86" s="272"/>
    </row>
    <row r="87" spans="1:11" s="173" customFormat="1" ht="15" hidden="1" customHeight="1" x14ac:dyDescent="0.45">
      <c r="A87" s="174">
        <v>2</v>
      </c>
      <c r="B87" s="199" t="s">
        <v>98</v>
      </c>
      <c r="C87" s="77" t="s">
        <v>66</v>
      </c>
      <c r="D87" s="77"/>
      <c r="E87" s="256" t="str">
        <f t="shared" si="29"/>
        <v/>
      </c>
      <c r="F87" s="256" t="str">
        <f t="shared" si="30"/>
        <v/>
      </c>
      <c r="G87" s="159" t="str">
        <f t="shared" si="31"/>
        <v>rumus</v>
      </c>
      <c r="H87" s="77" t="s">
        <v>66</v>
      </c>
      <c r="I87" s="180"/>
      <c r="J87" s="27" t="str">
        <f t="shared" ref="J87:J95" si="32">IF(I87&lt;&gt;"",IF(I87="Editor/dewan penyunting/dewan redaksi jurnal ilmiah internasional",4,IF(I87="Editor/dewan penyunting/dewan redaksi jurnal ilmiah nasional",2,"")),"rumus")</f>
        <v>rumus</v>
      </c>
      <c r="K87" s="272"/>
    </row>
    <row r="88" spans="1:11" s="173" customFormat="1" ht="15" hidden="1" customHeight="1" x14ac:dyDescent="0.45">
      <c r="A88" s="174">
        <v>3</v>
      </c>
      <c r="B88" s="199" t="s">
        <v>98</v>
      </c>
      <c r="C88" s="77" t="s">
        <v>66</v>
      </c>
      <c r="D88" s="77"/>
      <c r="E88" s="256" t="str">
        <f t="shared" si="29"/>
        <v/>
      </c>
      <c r="F88" s="256" t="str">
        <f t="shared" si="30"/>
        <v/>
      </c>
      <c r="G88" s="159" t="str">
        <f t="shared" si="31"/>
        <v>rumus</v>
      </c>
      <c r="H88" s="77" t="s">
        <v>66</v>
      </c>
      <c r="I88" s="180"/>
      <c r="J88" s="27" t="str">
        <f t="shared" si="32"/>
        <v>rumus</v>
      </c>
    </row>
    <row r="89" spans="1:11" s="173" customFormat="1" ht="15" hidden="1" customHeight="1" x14ac:dyDescent="0.45">
      <c r="A89" s="174">
        <v>4</v>
      </c>
      <c r="B89" s="199" t="s">
        <v>98</v>
      </c>
      <c r="C89" s="77" t="s">
        <v>66</v>
      </c>
      <c r="D89" s="77"/>
      <c r="E89" s="256" t="str">
        <f t="shared" si="29"/>
        <v/>
      </c>
      <c r="F89" s="256" t="str">
        <f t="shared" si="30"/>
        <v/>
      </c>
      <c r="G89" s="159" t="str">
        <f t="shared" si="31"/>
        <v>rumus</v>
      </c>
      <c r="H89" s="77" t="s">
        <v>66</v>
      </c>
      <c r="I89" s="180"/>
      <c r="J89" s="27" t="str">
        <f t="shared" si="32"/>
        <v>rumus</v>
      </c>
    </row>
    <row r="90" spans="1:11" s="173" customFormat="1" ht="15" hidden="1" customHeight="1" x14ac:dyDescent="0.45">
      <c r="A90" s="174">
        <v>5</v>
      </c>
      <c r="B90" s="199" t="s">
        <v>98</v>
      </c>
      <c r="C90" s="77" t="s">
        <v>66</v>
      </c>
      <c r="D90" s="77"/>
      <c r="E90" s="256" t="str">
        <f t="shared" si="29"/>
        <v/>
      </c>
      <c r="F90" s="256" t="str">
        <f t="shared" si="30"/>
        <v/>
      </c>
      <c r="G90" s="159" t="str">
        <f t="shared" si="31"/>
        <v>rumus</v>
      </c>
      <c r="H90" s="77" t="s">
        <v>66</v>
      </c>
      <c r="I90" s="180"/>
      <c r="J90" s="27" t="str">
        <f t="shared" si="32"/>
        <v>rumus</v>
      </c>
    </row>
    <row r="91" spans="1:11" s="173" customFormat="1" ht="15" hidden="1" customHeight="1" x14ac:dyDescent="0.45">
      <c r="A91" s="174">
        <v>6</v>
      </c>
      <c r="B91" s="199" t="s">
        <v>98</v>
      </c>
      <c r="C91" s="77" t="s">
        <v>66</v>
      </c>
      <c r="D91" s="77"/>
      <c r="E91" s="256" t="str">
        <f t="shared" si="29"/>
        <v/>
      </c>
      <c r="F91" s="256" t="str">
        <f t="shared" si="30"/>
        <v/>
      </c>
      <c r="G91" s="159" t="str">
        <f t="shared" si="31"/>
        <v>rumus</v>
      </c>
      <c r="H91" s="77" t="s">
        <v>66</v>
      </c>
      <c r="I91" s="180"/>
      <c r="J91" s="27" t="str">
        <f t="shared" si="32"/>
        <v>rumus</v>
      </c>
    </row>
    <row r="92" spans="1:11" s="173" customFormat="1" ht="15" hidden="1" customHeight="1" x14ac:dyDescent="0.45">
      <c r="A92" s="174">
        <v>7</v>
      </c>
      <c r="B92" s="199" t="s">
        <v>98</v>
      </c>
      <c r="C92" s="77" t="s">
        <v>66</v>
      </c>
      <c r="D92" s="77"/>
      <c r="E92" s="256" t="str">
        <f t="shared" si="29"/>
        <v/>
      </c>
      <c r="F92" s="256" t="str">
        <f t="shared" si="30"/>
        <v/>
      </c>
      <c r="G92" s="159" t="str">
        <f t="shared" si="31"/>
        <v>rumus</v>
      </c>
      <c r="H92" s="77" t="s">
        <v>66</v>
      </c>
      <c r="I92" s="180"/>
      <c r="J92" s="27" t="str">
        <f t="shared" si="32"/>
        <v>rumus</v>
      </c>
    </row>
    <row r="93" spans="1:11" s="173" customFormat="1" ht="15" hidden="1" customHeight="1" x14ac:dyDescent="0.45">
      <c r="A93" s="174">
        <v>8</v>
      </c>
      <c r="B93" s="199" t="s">
        <v>98</v>
      </c>
      <c r="C93" s="77" t="s">
        <v>66</v>
      </c>
      <c r="D93" s="77"/>
      <c r="E93" s="256" t="str">
        <f t="shared" si="29"/>
        <v/>
      </c>
      <c r="F93" s="256" t="str">
        <f t="shared" si="30"/>
        <v/>
      </c>
      <c r="G93" s="159" t="str">
        <f t="shared" si="31"/>
        <v>rumus</v>
      </c>
      <c r="H93" s="77" t="s">
        <v>66</v>
      </c>
      <c r="I93" s="180"/>
      <c r="J93" s="27" t="str">
        <f t="shared" si="32"/>
        <v>rumus</v>
      </c>
    </row>
    <row r="94" spans="1:11" s="173" customFormat="1" ht="15" hidden="1" customHeight="1" x14ac:dyDescent="0.45">
      <c r="A94" s="174">
        <v>9</v>
      </c>
      <c r="B94" s="199" t="s">
        <v>98</v>
      </c>
      <c r="C94" s="77" t="s">
        <v>66</v>
      </c>
      <c r="D94" s="77"/>
      <c r="E94" s="256" t="str">
        <f t="shared" si="29"/>
        <v/>
      </c>
      <c r="F94" s="256" t="str">
        <f t="shared" si="30"/>
        <v/>
      </c>
      <c r="G94" s="159" t="str">
        <f t="shared" si="31"/>
        <v>rumus</v>
      </c>
      <c r="H94" s="77" t="s">
        <v>66</v>
      </c>
      <c r="I94" s="180"/>
      <c r="J94" s="27" t="str">
        <f t="shared" si="32"/>
        <v>rumus</v>
      </c>
    </row>
    <row r="95" spans="1:11" s="173" customFormat="1" ht="15" hidden="1" customHeight="1" x14ac:dyDescent="0.45">
      <c r="A95" s="174">
        <v>10</v>
      </c>
      <c r="B95" s="199" t="s">
        <v>98</v>
      </c>
      <c r="C95" s="77" t="s">
        <v>66</v>
      </c>
      <c r="D95" s="77"/>
      <c r="E95" s="256" t="str">
        <f t="shared" si="29"/>
        <v/>
      </c>
      <c r="F95" s="256" t="str">
        <f t="shared" si="30"/>
        <v/>
      </c>
      <c r="G95" s="159" t="str">
        <f t="shared" si="31"/>
        <v>rumus</v>
      </c>
      <c r="H95" s="77" t="s">
        <v>66</v>
      </c>
      <c r="I95" s="180"/>
      <c r="J95" s="27" t="str">
        <f t="shared" si="32"/>
        <v>rumus</v>
      </c>
    </row>
    <row r="96" spans="1:11" s="2" customFormat="1" x14ac:dyDescent="0.45">
      <c r="A96" s="100"/>
      <c r="B96" s="968" t="s">
        <v>67</v>
      </c>
      <c r="C96" s="969"/>
      <c r="D96" s="969"/>
      <c r="E96" s="969"/>
      <c r="F96" s="969"/>
      <c r="G96" s="270">
        <f>SUM(J86:J95)</f>
        <v>0</v>
      </c>
      <c r="H96" s="271"/>
    </row>
    <row r="97" spans="1:10" s="2" customFormat="1" x14ac:dyDescent="0.45">
      <c r="A97" s="85" t="s">
        <v>122</v>
      </c>
      <c r="B97" s="22" t="s">
        <v>29</v>
      </c>
      <c r="C97" s="23"/>
      <c r="D97" s="23"/>
      <c r="E97" s="23"/>
      <c r="F97" s="23"/>
      <c r="G97" s="23"/>
      <c r="H97" s="24"/>
    </row>
    <row r="98" spans="1:10" s="173" customFormat="1" ht="39.4" x14ac:dyDescent="0.45">
      <c r="A98" s="174">
        <v>1</v>
      </c>
      <c r="B98" s="851" t="s">
        <v>987</v>
      </c>
      <c r="C98" s="850" t="s">
        <v>988</v>
      </c>
      <c r="D98" s="77"/>
      <c r="E98" s="256">
        <f t="shared" ref="E98:E107" si="33">IF(I98&lt;&gt;"",1,"")</f>
        <v>1</v>
      </c>
      <c r="F98" s="256">
        <f t="shared" ref="F98:F107" si="34">IF(I98&lt;&gt;"",J98,"")</f>
        <v>2</v>
      </c>
      <c r="G98" s="159" t="str">
        <f t="shared" ref="G98:G107" si="35">IF(J98&lt;&gt;"rumus","1 x "&amp;J98&amp;" = "&amp;J98,"rumus")</f>
        <v>1 x 2 = 2</v>
      </c>
      <c r="H98" s="850" t="s">
        <v>991</v>
      </c>
      <c r="I98" s="180" t="s">
        <v>93</v>
      </c>
      <c r="J98" s="27">
        <f>IF(I98&lt;&gt;"",IF(I98="a.1). Tingkat Internasional/Nasional/Regional sebagai Ketua, tiap kegiatan",3,IF(I98="a.2). Tingkat Internasional/Nasional/Regional sebagai Anggota/peserta, tiap kegiatan",2,IF(I98="b.1). Di Lingkungan Perguruan Tinggi sebagai Ketua, tiap kegiatan",2,IF(I98="b.2). Di Lingkungan Perguruan Tinggi sebagai Anggota/peserta, tiap kegiatan",1,"")))),"rumus")</f>
        <v>2</v>
      </c>
    </row>
    <row r="99" spans="1:10" s="173" customFormat="1" ht="47" customHeight="1" x14ac:dyDescent="0.45">
      <c r="A99" s="174">
        <v>2</v>
      </c>
      <c r="B99" s="851" t="s">
        <v>989</v>
      </c>
      <c r="C99" s="850" t="s">
        <v>990</v>
      </c>
      <c r="D99" s="77"/>
      <c r="E99" s="256">
        <f t="shared" si="33"/>
        <v>1</v>
      </c>
      <c r="F99" s="256">
        <f t="shared" si="34"/>
        <v>2</v>
      </c>
      <c r="G99" s="159" t="str">
        <f t="shared" si="35"/>
        <v>1 x 2 = 2</v>
      </c>
      <c r="H99" s="850" t="s">
        <v>991</v>
      </c>
      <c r="I99" s="180" t="s">
        <v>93</v>
      </c>
      <c r="J99" s="27">
        <f t="shared" ref="J99:J107" si="36">IF(I99&lt;&gt;"",IF(I99="a.1). Tingkat Internasional/Nasional/Regional sebagai Ketua, tiap kegiatan",3,IF(I99="a.2). Tingkat Internasional/Nasional/Regional sebagai Anggota/peserta, tiap kegiatan",2,IF(I99="b.1). Di Lingkungan Perguruan Tinggi sebagai Ketua, tiap kegiatan",2,IF(I99="b.2). Di Lingkungan Perguruan Tinggi sebagai Anggota/peserta, tiap kegiatan",1,"")))),"rumus")</f>
        <v>2</v>
      </c>
    </row>
    <row r="100" spans="1:10" s="173" customFormat="1" ht="15" hidden="1" customHeight="1" x14ac:dyDescent="0.45">
      <c r="A100" s="174">
        <v>3</v>
      </c>
      <c r="B100" s="199" t="s">
        <v>98</v>
      </c>
      <c r="C100" s="77" t="s">
        <v>66</v>
      </c>
      <c r="D100" s="77"/>
      <c r="E100" s="256" t="str">
        <f t="shared" si="33"/>
        <v/>
      </c>
      <c r="F100" s="256" t="str">
        <f t="shared" si="34"/>
        <v/>
      </c>
      <c r="G100" s="159" t="str">
        <f t="shared" si="35"/>
        <v>rumus</v>
      </c>
      <c r="H100" s="77" t="s">
        <v>66</v>
      </c>
      <c r="I100" s="180"/>
      <c r="J100" s="27" t="str">
        <f t="shared" si="36"/>
        <v>rumus</v>
      </c>
    </row>
    <row r="101" spans="1:10" s="173" customFormat="1" ht="15" hidden="1" customHeight="1" x14ac:dyDescent="0.45">
      <c r="A101" s="174">
        <v>4</v>
      </c>
      <c r="B101" s="199" t="s">
        <v>98</v>
      </c>
      <c r="C101" s="77" t="s">
        <v>66</v>
      </c>
      <c r="D101" s="77"/>
      <c r="E101" s="256" t="str">
        <f t="shared" si="33"/>
        <v/>
      </c>
      <c r="F101" s="256" t="str">
        <f t="shared" si="34"/>
        <v/>
      </c>
      <c r="G101" s="159" t="str">
        <f t="shared" si="35"/>
        <v>rumus</v>
      </c>
      <c r="H101" s="77" t="s">
        <v>66</v>
      </c>
      <c r="I101" s="180"/>
      <c r="J101" s="27" t="str">
        <f t="shared" si="36"/>
        <v>rumus</v>
      </c>
    </row>
    <row r="102" spans="1:10" s="173" customFormat="1" ht="15" hidden="1" customHeight="1" x14ac:dyDescent="0.45">
      <c r="A102" s="174">
        <v>5</v>
      </c>
      <c r="B102" s="199" t="s">
        <v>98</v>
      </c>
      <c r="C102" s="77" t="s">
        <v>66</v>
      </c>
      <c r="D102" s="77"/>
      <c r="E102" s="256" t="str">
        <f t="shared" si="33"/>
        <v/>
      </c>
      <c r="F102" s="256" t="str">
        <f t="shared" si="34"/>
        <v/>
      </c>
      <c r="G102" s="159" t="str">
        <f t="shared" si="35"/>
        <v>rumus</v>
      </c>
      <c r="H102" s="77" t="s">
        <v>66</v>
      </c>
      <c r="I102" s="180"/>
      <c r="J102" s="27" t="str">
        <f t="shared" si="36"/>
        <v>rumus</v>
      </c>
    </row>
    <row r="103" spans="1:10" s="173" customFormat="1" ht="15" hidden="1" customHeight="1" x14ac:dyDescent="0.45">
      <c r="A103" s="174">
        <v>6</v>
      </c>
      <c r="B103" s="199" t="s">
        <v>98</v>
      </c>
      <c r="C103" s="77" t="s">
        <v>66</v>
      </c>
      <c r="D103" s="77"/>
      <c r="E103" s="256" t="str">
        <f t="shared" si="33"/>
        <v/>
      </c>
      <c r="F103" s="256" t="str">
        <f t="shared" si="34"/>
        <v/>
      </c>
      <c r="G103" s="159" t="str">
        <f t="shared" si="35"/>
        <v>rumus</v>
      </c>
      <c r="H103" s="77" t="s">
        <v>66</v>
      </c>
      <c r="I103" s="180"/>
      <c r="J103" s="27" t="str">
        <f t="shared" si="36"/>
        <v>rumus</v>
      </c>
    </row>
    <row r="104" spans="1:10" s="173" customFormat="1" ht="15" hidden="1" customHeight="1" x14ac:dyDescent="0.45">
      <c r="A104" s="174">
        <v>7</v>
      </c>
      <c r="B104" s="199" t="s">
        <v>98</v>
      </c>
      <c r="C104" s="77" t="s">
        <v>66</v>
      </c>
      <c r="D104" s="77"/>
      <c r="E104" s="256" t="str">
        <f t="shared" si="33"/>
        <v/>
      </c>
      <c r="F104" s="256" t="str">
        <f t="shared" si="34"/>
        <v/>
      </c>
      <c r="G104" s="159" t="str">
        <f t="shared" si="35"/>
        <v>rumus</v>
      </c>
      <c r="H104" s="77" t="s">
        <v>66</v>
      </c>
      <c r="I104" s="180"/>
      <c r="J104" s="27" t="str">
        <f t="shared" si="36"/>
        <v>rumus</v>
      </c>
    </row>
    <row r="105" spans="1:10" s="173" customFormat="1" ht="15" hidden="1" customHeight="1" x14ac:dyDescent="0.45">
      <c r="A105" s="174">
        <v>8</v>
      </c>
      <c r="B105" s="199" t="s">
        <v>98</v>
      </c>
      <c r="C105" s="77" t="s">
        <v>66</v>
      </c>
      <c r="D105" s="77"/>
      <c r="E105" s="256" t="str">
        <f t="shared" si="33"/>
        <v/>
      </c>
      <c r="F105" s="256" t="str">
        <f t="shared" si="34"/>
        <v/>
      </c>
      <c r="G105" s="159" t="str">
        <f t="shared" si="35"/>
        <v>rumus</v>
      </c>
      <c r="H105" s="77" t="s">
        <v>66</v>
      </c>
      <c r="I105" s="180"/>
      <c r="J105" s="27" t="str">
        <f t="shared" si="36"/>
        <v>rumus</v>
      </c>
    </row>
    <row r="106" spans="1:10" s="173" customFormat="1" ht="15" hidden="1" customHeight="1" x14ac:dyDescent="0.45">
      <c r="A106" s="174">
        <v>9</v>
      </c>
      <c r="B106" s="199" t="s">
        <v>98</v>
      </c>
      <c r="C106" s="77" t="s">
        <v>66</v>
      </c>
      <c r="D106" s="77"/>
      <c r="E106" s="256" t="str">
        <f t="shared" si="33"/>
        <v/>
      </c>
      <c r="F106" s="256" t="str">
        <f t="shared" si="34"/>
        <v/>
      </c>
      <c r="G106" s="159" t="str">
        <f t="shared" si="35"/>
        <v>rumus</v>
      </c>
      <c r="H106" s="77" t="s">
        <v>66</v>
      </c>
      <c r="I106" s="180"/>
      <c r="J106" s="27" t="str">
        <f t="shared" si="36"/>
        <v>rumus</v>
      </c>
    </row>
    <row r="107" spans="1:10" s="173" customFormat="1" ht="15" hidden="1" customHeight="1" x14ac:dyDescent="0.45">
      <c r="A107" s="174">
        <v>10</v>
      </c>
      <c r="B107" s="199" t="s">
        <v>98</v>
      </c>
      <c r="C107" s="77" t="s">
        <v>66</v>
      </c>
      <c r="D107" s="77"/>
      <c r="E107" s="256" t="str">
        <f t="shared" si="33"/>
        <v/>
      </c>
      <c r="F107" s="256" t="str">
        <f t="shared" si="34"/>
        <v/>
      </c>
      <c r="G107" s="159" t="str">
        <f t="shared" si="35"/>
        <v>rumus</v>
      </c>
      <c r="H107" s="77" t="s">
        <v>66</v>
      </c>
      <c r="I107" s="180"/>
      <c r="J107" s="27" t="str">
        <f t="shared" si="36"/>
        <v>rumus</v>
      </c>
    </row>
    <row r="108" spans="1:10" s="2" customFormat="1" x14ac:dyDescent="0.45">
      <c r="A108" s="100"/>
      <c r="B108" s="968" t="s">
        <v>67</v>
      </c>
      <c r="C108" s="969"/>
      <c r="D108" s="969"/>
      <c r="E108" s="969"/>
      <c r="F108" s="969"/>
      <c r="G108" s="43">
        <f>SUM(J98:J107)</f>
        <v>4</v>
      </c>
      <c r="H108" s="98"/>
    </row>
    <row r="109" spans="1:10" s="2" customFormat="1" x14ac:dyDescent="0.45">
      <c r="A109" s="85" t="s">
        <v>123</v>
      </c>
      <c r="B109" s="22" t="s">
        <v>181</v>
      </c>
      <c r="C109" s="23"/>
      <c r="D109" s="23"/>
      <c r="E109" s="23"/>
      <c r="F109" s="23"/>
      <c r="G109" s="23"/>
      <c r="H109" s="24"/>
    </row>
    <row r="110" spans="1:10" s="2" customFormat="1" ht="39.4" x14ac:dyDescent="0.45">
      <c r="A110" s="108">
        <v>1</v>
      </c>
      <c r="B110" s="851" t="s">
        <v>992</v>
      </c>
      <c r="C110" s="850" t="s">
        <v>995</v>
      </c>
      <c r="D110" s="77"/>
      <c r="E110" s="256">
        <f t="shared" ref="E110:E119" si="37">IF(I110&lt;&gt;"",1,"")</f>
        <v>1</v>
      </c>
      <c r="F110" s="256">
        <f t="shared" ref="F110:F119" si="38">IF(I110&lt;&gt;"",J110,"")</f>
        <v>5</v>
      </c>
      <c r="G110" s="159" t="str">
        <f t="shared" ref="G110:G119" si="39">IF(J110&lt;&gt;"rumus","1 x "&amp;J110&amp;" = "&amp;J110,"rumus")</f>
        <v>1 x 5 = 5</v>
      </c>
      <c r="H110" s="850" t="s">
        <v>998</v>
      </c>
      <c r="I110" s="38" t="s">
        <v>1000</v>
      </c>
      <c r="J110" s="27">
        <f>IF(I110&lt;&gt;"",IF(I110="a.Satya Lancana Karya Satya 30 thn",3,IF(I110="b.Satya Lancana Karya Satya 20 thn",2,IF(I110="c.Satya Lancana Karya Satya 10 thn",1,IF(I110="d.Penghargaan lainnya Tingkat Internasional",5,IF(I110="e.Penghargaan lainnya Tingkat Nasional",3,IF(I110="f.Penghargaan lainnyaTingkat Daerah/Lokal",1,"")))))),"rumus")</f>
        <v>5</v>
      </c>
    </row>
    <row r="111" spans="1:10" s="2" customFormat="1" ht="39.4" x14ac:dyDescent="0.45">
      <c r="A111" s="108">
        <v>2</v>
      </c>
      <c r="B111" s="851" t="s">
        <v>993</v>
      </c>
      <c r="C111" s="850" t="s">
        <v>996</v>
      </c>
      <c r="D111" s="77"/>
      <c r="E111" s="256">
        <f t="shared" si="37"/>
        <v>1</v>
      </c>
      <c r="F111" s="256">
        <f t="shared" si="38"/>
        <v>5</v>
      </c>
      <c r="G111" s="159" t="str">
        <f t="shared" si="39"/>
        <v>1 x 5 = 5</v>
      </c>
      <c r="H111" s="850" t="s">
        <v>998</v>
      </c>
      <c r="I111" s="38" t="s">
        <v>1000</v>
      </c>
      <c r="J111" s="27">
        <f t="shared" ref="J111:J119" si="40">IF(I111&lt;&gt;"",IF(I111="a.Satya Lancana Karya Satya 30 thn",3,IF(I111="b.Satya Lancana Karya Satya 20 thn",2,IF(I111="c.Satya Lancana Karya Satya 10 thn",1,IF(I111="d.Penghargaan lainnya Tingkat Internasional",5,IF(I111="e.Penghargaan lainnya Tingkat Nasional",3,IF(I111="f.Penghargaan lainnyaTingkat Daerah/Lokal",1,"")))))),"rumus")</f>
        <v>5</v>
      </c>
    </row>
    <row r="112" spans="1:10" s="2" customFormat="1" ht="65.650000000000006" x14ac:dyDescent="0.45">
      <c r="A112" s="108">
        <v>3</v>
      </c>
      <c r="B112" s="851" t="s">
        <v>994</v>
      </c>
      <c r="C112" s="850" t="s">
        <v>997</v>
      </c>
      <c r="D112" s="77"/>
      <c r="E112" s="256">
        <f t="shared" si="37"/>
        <v>1</v>
      </c>
      <c r="F112" s="256">
        <f t="shared" si="38"/>
        <v>3</v>
      </c>
      <c r="G112" s="159" t="str">
        <f t="shared" si="39"/>
        <v>1 x 3 = 3</v>
      </c>
      <c r="H112" s="855" t="s">
        <v>999</v>
      </c>
      <c r="I112" s="38" t="s">
        <v>1001</v>
      </c>
      <c r="J112" s="27">
        <f t="shared" si="40"/>
        <v>3</v>
      </c>
    </row>
    <row r="113" spans="1:10" s="2" customFormat="1" ht="15" hidden="1" customHeight="1" x14ac:dyDescent="0.45">
      <c r="A113" s="108">
        <v>4</v>
      </c>
      <c r="B113" s="199" t="s">
        <v>103</v>
      </c>
      <c r="C113" s="77" t="s">
        <v>66</v>
      </c>
      <c r="D113" s="77"/>
      <c r="E113" s="256" t="str">
        <f t="shared" si="37"/>
        <v/>
      </c>
      <c r="F113" s="256" t="str">
        <f t="shared" si="38"/>
        <v/>
      </c>
      <c r="G113" s="159" t="str">
        <f t="shared" si="39"/>
        <v>rumus</v>
      </c>
      <c r="H113" s="77" t="s">
        <v>66</v>
      </c>
      <c r="I113" s="38"/>
      <c r="J113" s="27" t="str">
        <f t="shared" si="40"/>
        <v>rumus</v>
      </c>
    </row>
    <row r="114" spans="1:10" s="2" customFormat="1" ht="15" hidden="1" customHeight="1" x14ac:dyDescent="0.45">
      <c r="A114" s="108">
        <v>5</v>
      </c>
      <c r="B114" s="199" t="s">
        <v>103</v>
      </c>
      <c r="C114" s="77" t="s">
        <v>66</v>
      </c>
      <c r="D114" s="77"/>
      <c r="E114" s="256" t="str">
        <f t="shared" si="37"/>
        <v/>
      </c>
      <c r="F114" s="256" t="str">
        <f t="shared" si="38"/>
        <v/>
      </c>
      <c r="G114" s="159" t="str">
        <f t="shared" si="39"/>
        <v>rumus</v>
      </c>
      <c r="H114" s="77" t="s">
        <v>66</v>
      </c>
      <c r="I114" s="38"/>
      <c r="J114" s="27" t="str">
        <f t="shared" si="40"/>
        <v>rumus</v>
      </c>
    </row>
    <row r="115" spans="1:10" s="2" customFormat="1" ht="15" hidden="1" customHeight="1" x14ac:dyDescent="0.45">
      <c r="A115" s="108">
        <v>6</v>
      </c>
      <c r="B115" s="199" t="s">
        <v>103</v>
      </c>
      <c r="C115" s="77" t="s">
        <v>66</v>
      </c>
      <c r="D115" s="77"/>
      <c r="E115" s="256" t="str">
        <f t="shared" si="37"/>
        <v/>
      </c>
      <c r="F115" s="256" t="str">
        <f t="shared" si="38"/>
        <v/>
      </c>
      <c r="G115" s="159" t="str">
        <f t="shared" si="39"/>
        <v>rumus</v>
      </c>
      <c r="H115" s="77" t="s">
        <v>66</v>
      </c>
      <c r="I115" s="38"/>
      <c r="J115" s="27" t="str">
        <f t="shared" si="40"/>
        <v>rumus</v>
      </c>
    </row>
    <row r="116" spans="1:10" s="2" customFormat="1" ht="15" hidden="1" customHeight="1" x14ac:dyDescent="0.45">
      <c r="A116" s="108">
        <v>7</v>
      </c>
      <c r="B116" s="199" t="s">
        <v>103</v>
      </c>
      <c r="C116" s="77" t="s">
        <v>66</v>
      </c>
      <c r="D116" s="77"/>
      <c r="E116" s="256" t="str">
        <f t="shared" si="37"/>
        <v/>
      </c>
      <c r="F116" s="256" t="str">
        <f t="shared" si="38"/>
        <v/>
      </c>
      <c r="G116" s="159" t="str">
        <f t="shared" si="39"/>
        <v>rumus</v>
      </c>
      <c r="H116" s="77" t="s">
        <v>66</v>
      </c>
      <c r="I116" s="38"/>
      <c r="J116" s="27" t="str">
        <f t="shared" si="40"/>
        <v>rumus</v>
      </c>
    </row>
    <row r="117" spans="1:10" s="2" customFormat="1" ht="15" hidden="1" customHeight="1" x14ac:dyDescent="0.45">
      <c r="A117" s="108">
        <v>8</v>
      </c>
      <c r="B117" s="199" t="s">
        <v>103</v>
      </c>
      <c r="C117" s="77" t="s">
        <v>66</v>
      </c>
      <c r="D117" s="77"/>
      <c r="E117" s="256" t="str">
        <f t="shared" si="37"/>
        <v/>
      </c>
      <c r="F117" s="256" t="str">
        <f t="shared" si="38"/>
        <v/>
      </c>
      <c r="G117" s="159" t="str">
        <f t="shared" si="39"/>
        <v>rumus</v>
      </c>
      <c r="H117" s="77" t="s">
        <v>66</v>
      </c>
      <c r="I117" s="38"/>
      <c r="J117" s="27" t="str">
        <f t="shared" si="40"/>
        <v>rumus</v>
      </c>
    </row>
    <row r="118" spans="1:10" s="2" customFormat="1" ht="15" hidden="1" customHeight="1" x14ac:dyDescent="0.45">
      <c r="A118" s="108">
        <v>9</v>
      </c>
      <c r="B118" s="199" t="s">
        <v>103</v>
      </c>
      <c r="C118" s="77" t="s">
        <v>66</v>
      </c>
      <c r="D118" s="77"/>
      <c r="E118" s="256" t="str">
        <f t="shared" si="37"/>
        <v/>
      </c>
      <c r="F118" s="256" t="str">
        <f t="shared" si="38"/>
        <v/>
      </c>
      <c r="G118" s="159" t="str">
        <f t="shared" si="39"/>
        <v>rumus</v>
      </c>
      <c r="H118" s="77" t="s">
        <v>66</v>
      </c>
      <c r="I118" s="38"/>
      <c r="J118" s="27" t="str">
        <f t="shared" si="40"/>
        <v>rumus</v>
      </c>
    </row>
    <row r="119" spans="1:10" s="2" customFormat="1" ht="15" hidden="1" customHeight="1" x14ac:dyDescent="0.45">
      <c r="A119" s="108">
        <v>10</v>
      </c>
      <c r="B119" s="199" t="s">
        <v>103</v>
      </c>
      <c r="C119" s="77" t="s">
        <v>66</v>
      </c>
      <c r="D119" s="77"/>
      <c r="E119" s="256" t="str">
        <f t="shared" si="37"/>
        <v/>
      </c>
      <c r="F119" s="256" t="str">
        <f t="shared" si="38"/>
        <v/>
      </c>
      <c r="G119" s="159" t="str">
        <f t="shared" si="39"/>
        <v>rumus</v>
      </c>
      <c r="H119" s="77" t="s">
        <v>66</v>
      </c>
      <c r="I119" s="38"/>
      <c r="J119" s="27" t="str">
        <f t="shared" si="40"/>
        <v>rumus</v>
      </c>
    </row>
    <row r="120" spans="1:10" s="2" customFormat="1" x14ac:dyDescent="0.45">
      <c r="A120" s="100"/>
      <c r="B120" s="968" t="s">
        <v>67</v>
      </c>
      <c r="C120" s="969"/>
      <c r="D120" s="969"/>
      <c r="E120" s="969"/>
      <c r="F120" s="969"/>
      <c r="G120" s="43">
        <f>SUM(J110:J119)</f>
        <v>13</v>
      </c>
      <c r="H120" s="98"/>
    </row>
    <row r="121" spans="1:10" s="2" customFormat="1" x14ac:dyDescent="0.45">
      <c r="A121" s="85" t="s">
        <v>2</v>
      </c>
      <c r="B121" s="22" t="s">
        <v>30</v>
      </c>
      <c r="C121" s="23"/>
      <c r="D121" s="23"/>
      <c r="E121" s="23"/>
      <c r="F121" s="23"/>
      <c r="G121" s="23"/>
      <c r="H121" s="24"/>
    </row>
    <row r="122" spans="1:10" s="2" customFormat="1" ht="15" hidden="1" customHeight="1" x14ac:dyDescent="0.45">
      <c r="A122" s="108">
        <v>1</v>
      </c>
      <c r="B122" s="199" t="s">
        <v>104</v>
      </c>
      <c r="C122" s="77" t="s">
        <v>66</v>
      </c>
      <c r="D122" s="77"/>
      <c r="E122" s="256" t="str">
        <f t="shared" ref="E122" si="41">IF(I122&lt;&gt;"",1,"")</f>
        <v/>
      </c>
      <c r="F122" s="256" t="str">
        <f t="shared" ref="F122" si="42">IF(I122&lt;&gt;"",J122,"")</f>
        <v/>
      </c>
      <c r="G122" s="159" t="str">
        <f t="shared" ref="G122" si="43">IF(J122&lt;&gt;"rumus","1 x "&amp;J122&amp;" = "&amp;J122,"rumus")</f>
        <v>rumus</v>
      </c>
      <c r="H122" s="77" t="s">
        <v>66</v>
      </c>
      <c r="I122" s="38"/>
      <c r="J122" s="27" t="str">
        <f>IF(I122&lt;&gt;"",IF(I122="a.Buku SMTA atau setingkat",5,IF(I122="b.Buku SMTP atau setingkat",5,IF(I122="c.Buku SD atau setingkat",5,""))),"rumus")</f>
        <v>rumus</v>
      </c>
    </row>
    <row r="123" spans="1:10" s="2" customFormat="1" ht="15" hidden="1" customHeight="1" x14ac:dyDescent="0.45">
      <c r="A123" s="108">
        <v>2</v>
      </c>
      <c r="B123" s="199" t="s">
        <v>104</v>
      </c>
      <c r="C123" s="77" t="s">
        <v>66</v>
      </c>
      <c r="D123" s="77"/>
      <c r="E123" s="256" t="str">
        <f t="shared" ref="E123:E131" si="44">IF(I123&lt;&gt;"",1,"")</f>
        <v/>
      </c>
      <c r="F123" s="256" t="str">
        <f t="shared" ref="F123:F131" si="45">IF(I123&lt;&gt;"",J123,"")</f>
        <v/>
      </c>
      <c r="G123" s="159" t="str">
        <f t="shared" ref="G123:G131" si="46">IF(J123&lt;&gt;"rumus","1 x "&amp;J123&amp;" = "&amp;J123,"rumus")</f>
        <v>rumus</v>
      </c>
      <c r="H123" s="77" t="s">
        <v>66</v>
      </c>
      <c r="I123" s="38"/>
      <c r="J123" s="27" t="str">
        <f t="shared" ref="J123:J131" si="47">IF(I123&lt;&gt;"",IF(I123="a.Buku SMTA atau setingkat",5,IF(I123="b.Buku SMTP atau setingkat",5,IF(I123="c.Buku SD atau setingkat",5,""))),"rumus")</f>
        <v>rumus</v>
      </c>
    </row>
    <row r="124" spans="1:10" s="2" customFormat="1" ht="15" hidden="1" customHeight="1" x14ac:dyDescent="0.45">
      <c r="A124" s="108">
        <v>3</v>
      </c>
      <c r="B124" s="199" t="s">
        <v>104</v>
      </c>
      <c r="C124" s="77" t="s">
        <v>66</v>
      </c>
      <c r="D124" s="77"/>
      <c r="E124" s="256" t="str">
        <f t="shared" si="44"/>
        <v/>
      </c>
      <c r="F124" s="256" t="str">
        <f t="shared" si="45"/>
        <v/>
      </c>
      <c r="G124" s="159" t="str">
        <f t="shared" si="46"/>
        <v>rumus</v>
      </c>
      <c r="H124" s="77" t="s">
        <v>66</v>
      </c>
      <c r="I124" s="38"/>
      <c r="J124" s="27" t="str">
        <f t="shared" si="47"/>
        <v>rumus</v>
      </c>
    </row>
    <row r="125" spans="1:10" s="2" customFormat="1" ht="15" hidden="1" customHeight="1" x14ac:dyDescent="0.45">
      <c r="A125" s="108">
        <v>4</v>
      </c>
      <c r="B125" s="199" t="s">
        <v>104</v>
      </c>
      <c r="C125" s="77" t="s">
        <v>66</v>
      </c>
      <c r="D125" s="77"/>
      <c r="E125" s="256" t="str">
        <f t="shared" si="44"/>
        <v/>
      </c>
      <c r="F125" s="256" t="str">
        <f t="shared" si="45"/>
        <v/>
      </c>
      <c r="G125" s="159" t="str">
        <f t="shared" si="46"/>
        <v>rumus</v>
      </c>
      <c r="H125" s="77" t="s">
        <v>66</v>
      </c>
      <c r="I125" s="38"/>
      <c r="J125" s="27" t="str">
        <f t="shared" si="47"/>
        <v>rumus</v>
      </c>
    </row>
    <row r="126" spans="1:10" s="2" customFormat="1" ht="15" hidden="1" customHeight="1" x14ac:dyDescent="0.45">
      <c r="A126" s="108">
        <v>5</v>
      </c>
      <c r="B126" s="199" t="s">
        <v>104</v>
      </c>
      <c r="C126" s="77" t="s">
        <v>66</v>
      </c>
      <c r="D126" s="77"/>
      <c r="E126" s="256" t="str">
        <f t="shared" si="44"/>
        <v/>
      </c>
      <c r="F126" s="256" t="str">
        <f t="shared" si="45"/>
        <v/>
      </c>
      <c r="G126" s="159" t="str">
        <f t="shared" si="46"/>
        <v>rumus</v>
      </c>
      <c r="H126" s="77" t="s">
        <v>66</v>
      </c>
      <c r="I126" s="38"/>
      <c r="J126" s="27" t="str">
        <f t="shared" si="47"/>
        <v>rumus</v>
      </c>
    </row>
    <row r="127" spans="1:10" s="2" customFormat="1" ht="15" hidden="1" customHeight="1" x14ac:dyDescent="0.45">
      <c r="A127" s="108">
        <v>6</v>
      </c>
      <c r="B127" s="199" t="s">
        <v>104</v>
      </c>
      <c r="C127" s="77" t="s">
        <v>66</v>
      </c>
      <c r="D127" s="77"/>
      <c r="E127" s="256" t="str">
        <f t="shared" si="44"/>
        <v/>
      </c>
      <c r="F127" s="256" t="str">
        <f t="shared" si="45"/>
        <v/>
      </c>
      <c r="G127" s="159" t="str">
        <f t="shared" si="46"/>
        <v>rumus</v>
      </c>
      <c r="H127" s="77" t="s">
        <v>66</v>
      </c>
      <c r="I127" s="38"/>
      <c r="J127" s="27" t="str">
        <f t="shared" si="47"/>
        <v>rumus</v>
      </c>
    </row>
    <row r="128" spans="1:10" s="2" customFormat="1" ht="15" hidden="1" customHeight="1" x14ac:dyDescent="0.45">
      <c r="A128" s="108">
        <v>7</v>
      </c>
      <c r="B128" s="199" t="s">
        <v>104</v>
      </c>
      <c r="C128" s="77" t="s">
        <v>66</v>
      </c>
      <c r="D128" s="77"/>
      <c r="E128" s="256" t="str">
        <f t="shared" si="44"/>
        <v/>
      </c>
      <c r="F128" s="256" t="str">
        <f t="shared" si="45"/>
        <v/>
      </c>
      <c r="G128" s="159" t="str">
        <f t="shared" si="46"/>
        <v>rumus</v>
      </c>
      <c r="H128" s="77" t="s">
        <v>66</v>
      </c>
      <c r="I128" s="38"/>
      <c r="J128" s="27" t="str">
        <f t="shared" si="47"/>
        <v>rumus</v>
      </c>
    </row>
    <row r="129" spans="1:10" s="2" customFormat="1" ht="15" hidden="1" customHeight="1" x14ac:dyDescent="0.45">
      <c r="A129" s="108">
        <v>8</v>
      </c>
      <c r="B129" s="199" t="s">
        <v>104</v>
      </c>
      <c r="C129" s="77" t="s">
        <v>66</v>
      </c>
      <c r="D129" s="77"/>
      <c r="E129" s="256" t="str">
        <f t="shared" si="44"/>
        <v/>
      </c>
      <c r="F129" s="256" t="str">
        <f t="shared" si="45"/>
        <v/>
      </c>
      <c r="G129" s="159" t="str">
        <f t="shared" si="46"/>
        <v>rumus</v>
      </c>
      <c r="H129" s="77" t="s">
        <v>66</v>
      </c>
      <c r="I129" s="38"/>
      <c r="J129" s="27" t="str">
        <f t="shared" si="47"/>
        <v>rumus</v>
      </c>
    </row>
    <row r="130" spans="1:10" s="2" customFormat="1" ht="15" hidden="1" customHeight="1" x14ac:dyDescent="0.45">
      <c r="A130" s="108">
        <v>9</v>
      </c>
      <c r="B130" s="199" t="s">
        <v>104</v>
      </c>
      <c r="C130" s="77" t="s">
        <v>66</v>
      </c>
      <c r="D130" s="77"/>
      <c r="E130" s="256" t="str">
        <f t="shared" si="44"/>
        <v/>
      </c>
      <c r="F130" s="256" t="str">
        <f t="shared" si="45"/>
        <v/>
      </c>
      <c r="G130" s="159" t="str">
        <f t="shared" si="46"/>
        <v>rumus</v>
      </c>
      <c r="H130" s="77" t="s">
        <v>66</v>
      </c>
      <c r="I130" s="38"/>
      <c r="J130" s="27" t="str">
        <f t="shared" si="47"/>
        <v>rumus</v>
      </c>
    </row>
    <row r="131" spans="1:10" s="2" customFormat="1" ht="15" hidden="1" customHeight="1" x14ac:dyDescent="0.45">
      <c r="A131" s="108">
        <v>10</v>
      </c>
      <c r="B131" s="199" t="s">
        <v>104</v>
      </c>
      <c r="C131" s="77" t="s">
        <v>66</v>
      </c>
      <c r="D131" s="77"/>
      <c r="E131" s="256" t="str">
        <f t="shared" si="44"/>
        <v/>
      </c>
      <c r="F131" s="256" t="str">
        <f t="shared" si="45"/>
        <v/>
      </c>
      <c r="G131" s="159" t="str">
        <f t="shared" si="46"/>
        <v>rumus</v>
      </c>
      <c r="H131" s="77" t="s">
        <v>66</v>
      </c>
      <c r="I131" s="38"/>
      <c r="J131" s="27" t="str">
        <f t="shared" si="47"/>
        <v>rumus</v>
      </c>
    </row>
    <row r="132" spans="1:10" s="2" customFormat="1" x14ac:dyDescent="0.45">
      <c r="A132" s="100"/>
      <c r="B132" s="968" t="s">
        <v>67</v>
      </c>
      <c r="C132" s="969"/>
      <c r="D132" s="969"/>
      <c r="E132" s="969"/>
      <c r="F132" s="969"/>
      <c r="G132" s="43">
        <f>SUM(J122:J131)</f>
        <v>0</v>
      </c>
      <c r="H132" s="98"/>
    </row>
    <row r="133" spans="1:10" s="2" customFormat="1" x14ac:dyDescent="0.45">
      <c r="A133" s="85" t="s">
        <v>125</v>
      </c>
      <c r="B133" s="22" t="s">
        <v>31</v>
      </c>
      <c r="C133" s="23"/>
      <c r="D133" s="23"/>
      <c r="E133" s="23"/>
      <c r="F133" s="23"/>
      <c r="G133" s="23"/>
      <c r="H133" s="24"/>
    </row>
    <row r="134" spans="1:10" s="2" customFormat="1" hidden="1" x14ac:dyDescent="0.45">
      <c r="A134" s="108">
        <v>1</v>
      </c>
      <c r="B134" s="199" t="s">
        <v>105</v>
      </c>
      <c r="C134" s="77" t="s">
        <v>66</v>
      </c>
      <c r="D134" s="77"/>
      <c r="E134" s="256" t="str">
        <f t="shared" ref="E134:E143" si="48">IF(I134&lt;&gt;"",1,"")</f>
        <v/>
      </c>
      <c r="F134" s="256" t="str">
        <f t="shared" ref="F134:F143" si="49">IF(I134&lt;&gt;"",J134,"")</f>
        <v/>
      </c>
      <c r="G134" s="159" t="str">
        <f t="shared" ref="G134:G143" si="50">IF(J134&lt;&gt;"rumus","1 x "&amp;J134&amp;" = "&amp;J134,"rumus")</f>
        <v>rumus</v>
      </c>
      <c r="H134" s="77" t="s">
        <v>66</v>
      </c>
      <c r="I134" s="38"/>
      <c r="J134" s="27" t="str">
        <f>IF(I134&lt;&gt;"",IF(I134="a.Tingkat Internasional tiap piagam/medali",5,IF(I134="b.Tingkat Nasional tiap piagam/medali",3,IF(I134="c.Tingkat Daerah/Lokal tiap piagam/medali",1,""))),"rumus")</f>
        <v>rumus</v>
      </c>
    </row>
    <row r="135" spans="1:10" s="2" customFormat="1" hidden="1" x14ac:dyDescent="0.45">
      <c r="A135" s="108">
        <v>2</v>
      </c>
      <c r="B135" s="199" t="s">
        <v>105</v>
      </c>
      <c r="C135" s="77" t="s">
        <v>66</v>
      </c>
      <c r="D135" s="77"/>
      <c r="E135" s="256" t="str">
        <f t="shared" si="48"/>
        <v/>
      </c>
      <c r="F135" s="256" t="str">
        <f t="shared" si="49"/>
        <v/>
      </c>
      <c r="G135" s="159" t="str">
        <f t="shared" si="50"/>
        <v>rumus</v>
      </c>
      <c r="H135" s="77" t="s">
        <v>66</v>
      </c>
      <c r="I135" s="38"/>
      <c r="J135" s="27" t="str">
        <f t="shared" ref="J135:J143" si="51">IF(I135&lt;&gt;"",IF(I135="a.Tingkat Internasional tiap piagam/medali",5,IF(I135="b.Tingkat Nasional tiap piagam/medali",3,IF(I135="c.Tingkat Daerah/Lokal tiap piagam/medali",1,""))),"rumus")</f>
        <v>rumus</v>
      </c>
    </row>
    <row r="136" spans="1:10" s="2" customFormat="1" hidden="1" x14ac:dyDescent="0.45">
      <c r="A136" s="108">
        <v>3</v>
      </c>
      <c r="B136" s="199" t="s">
        <v>105</v>
      </c>
      <c r="C136" s="77" t="s">
        <v>66</v>
      </c>
      <c r="D136" s="77"/>
      <c r="E136" s="256" t="str">
        <f t="shared" si="48"/>
        <v/>
      </c>
      <c r="F136" s="256" t="str">
        <f t="shared" si="49"/>
        <v/>
      </c>
      <c r="G136" s="159" t="str">
        <f t="shared" si="50"/>
        <v>rumus</v>
      </c>
      <c r="H136" s="77" t="s">
        <v>66</v>
      </c>
      <c r="I136" s="38"/>
      <c r="J136" s="27" t="str">
        <f t="shared" si="51"/>
        <v>rumus</v>
      </c>
    </row>
    <row r="137" spans="1:10" s="2" customFormat="1" hidden="1" x14ac:dyDescent="0.45">
      <c r="A137" s="108">
        <v>4</v>
      </c>
      <c r="B137" s="199" t="s">
        <v>105</v>
      </c>
      <c r="C137" s="77" t="s">
        <v>66</v>
      </c>
      <c r="D137" s="77"/>
      <c r="E137" s="256" t="str">
        <f t="shared" si="48"/>
        <v/>
      </c>
      <c r="F137" s="256" t="str">
        <f t="shared" si="49"/>
        <v/>
      </c>
      <c r="G137" s="159" t="str">
        <f t="shared" si="50"/>
        <v>rumus</v>
      </c>
      <c r="H137" s="77" t="s">
        <v>66</v>
      </c>
      <c r="I137" s="38"/>
      <c r="J137" s="27" t="str">
        <f t="shared" si="51"/>
        <v>rumus</v>
      </c>
    </row>
    <row r="138" spans="1:10" s="2" customFormat="1" hidden="1" x14ac:dyDescent="0.45">
      <c r="A138" s="108">
        <v>5</v>
      </c>
      <c r="B138" s="199" t="s">
        <v>105</v>
      </c>
      <c r="C138" s="77" t="s">
        <v>66</v>
      </c>
      <c r="D138" s="77"/>
      <c r="E138" s="256" t="str">
        <f t="shared" si="48"/>
        <v/>
      </c>
      <c r="F138" s="256" t="str">
        <f t="shared" si="49"/>
        <v/>
      </c>
      <c r="G138" s="159" t="str">
        <f t="shared" si="50"/>
        <v>rumus</v>
      </c>
      <c r="H138" s="77" t="s">
        <v>66</v>
      </c>
      <c r="I138" s="38"/>
      <c r="J138" s="27" t="str">
        <f t="shared" si="51"/>
        <v>rumus</v>
      </c>
    </row>
    <row r="139" spans="1:10" s="2" customFormat="1" hidden="1" x14ac:dyDescent="0.45">
      <c r="A139" s="108">
        <v>6</v>
      </c>
      <c r="B139" s="199" t="s">
        <v>105</v>
      </c>
      <c r="C139" s="77" t="s">
        <v>66</v>
      </c>
      <c r="D139" s="77"/>
      <c r="E139" s="256" t="str">
        <f t="shared" si="48"/>
        <v/>
      </c>
      <c r="F139" s="256" t="str">
        <f t="shared" si="49"/>
        <v/>
      </c>
      <c r="G139" s="159" t="str">
        <f t="shared" si="50"/>
        <v>rumus</v>
      </c>
      <c r="H139" s="77" t="s">
        <v>66</v>
      </c>
      <c r="I139" s="38"/>
      <c r="J139" s="27" t="str">
        <f t="shared" si="51"/>
        <v>rumus</v>
      </c>
    </row>
    <row r="140" spans="1:10" s="2" customFormat="1" hidden="1" x14ac:dyDescent="0.45">
      <c r="A140" s="108">
        <v>7</v>
      </c>
      <c r="B140" s="199" t="s">
        <v>105</v>
      </c>
      <c r="C140" s="77" t="s">
        <v>66</v>
      </c>
      <c r="D140" s="77"/>
      <c r="E140" s="256" t="str">
        <f t="shared" si="48"/>
        <v/>
      </c>
      <c r="F140" s="256" t="str">
        <f t="shared" si="49"/>
        <v/>
      </c>
      <c r="G140" s="159" t="str">
        <f t="shared" si="50"/>
        <v>rumus</v>
      </c>
      <c r="H140" s="77" t="s">
        <v>66</v>
      </c>
      <c r="I140" s="38"/>
      <c r="J140" s="27" t="str">
        <f t="shared" si="51"/>
        <v>rumus</v>
      </c>
    </row>
    <row r="141" spans="1:10" s="2" customFormat="1" hidden="1" x14ac:dyDescent="0.45">
      <c r="A141" s="108">
        <v>8</v>
      </c>
      <c r="B141" s="199" t="s">
        <v>105</v>
      </c>
      <c r="C141" s="77" t="s">
        <v>66</v>
      </c>
      <c r="D141" s="77"/>
      <c r="E141" s="256" t="str">
        <f t="shared" si="48"/>
        <v/>
      </c>
      <c r="F141" s="256" t="str">
        <f t="shared" si="49"/>
        <v/>
      </c>
      <c r="G141" s="159" t="str">
        <f t="shared" si="50"/>
        <v>rumus</v>
      </c>
      <c r="H141" s="77" t="s">
        <v>66</v>
      </c>
      <c r="I141" s="38"/>
      <c r="J141" s="27" t="str">
        <f t="shared" si="51"/>
        <v>rumus</v>
      </c>
    </row>
    <row r="142" spans="1:10" s="2" customFormat="1" hidden="1" x14ac:dyDescent="0.45">
      <c r="A142" s="108">
        <v>9</v>
      </c>
      <c r="B142" s="199" t="s">
        <v>105</v>
      </c>
      <c r="C142" s="77" t="s">
        <v>66</v>
      </c>
      <c r="D142" s="77"/>
      <c r="E142" s="256" t="str">
        <f t="shared" si="48"/>
        <v/>
      </c>
      <c r="F142" s="256" t="str">
        <f t="shared" si="49"/>
        <v/>
      </c>
      <c r="G142" s="159" t="str">
        <f t="shared" si="50"/>
        <v>rumus</v>
      </c>
      <c r="H142" s="77" t="s">
        <v>66</v>
      </c>
      <c r="I142" s="38"/>
      <c r="J142" s="27" t="str">
        <f t="shared" si="51"/>
        <v>rumus</v>
      </c>
    </row>
    <row r="143" spans="1:10" s="2" customFormat="1" hidden="1" x14ac:dyDescent="0.45">
      <c r="A143" s="108">
        <v>10</v>
      </c>
      <c r="B143" s="199" t="s">
        <v>105</v>
      </c>
      <c r="C143" s="77" t="s">
        <v>66</v>
      </c>
      <c r="D143" s="77"/>
      <c r="E143" s="256" t="str">
        <f t="shared" si="48"/>
        <v/>
      </c>
      <c r="F143" s="256" t="str">
        <f t="shared" si="49"/>
        <v/>
      </c>
      <c r="G143" s="159" t="str">
        <f t="shared" si="50"/>
        <v>rumus</v>
      </c>
      <c r="H143" s="77" t="s">
        <v>66</v>
      </c>
      <c r="I143" s="38"/>
      <c r="J143" s="27" t="str">
        <f t="shared" si="51"/>
        <v>rumus</v>
      </c>
    </row>
    <row r="144" spans="1:10" s="2" customFormat="1" x14ac:dyDescent="0.45">
      <c r="A144" s="100"/>
      <c r="B144" s="968" t="s">
        <v>67</v>
      </c>
      <c r="C144" s="969"/>
      <c r="D144" s="969"/>
      <c r="E144" s="969"/>
      <c r="F144" s="969"/>
      <c r="G144" s="43">
        <f>SUM(J134:J143)</f>
        <v>0</v>
      </c>
      <c r="H144" s="98"/>
    </row>
    <row r="145" spans="1:10" s="2" customFormat="1" x14ac:dyDescent="0.45">
      <c r="A145" s="85" t="s">
        <v>124</v>
      </c>
      <c r="B145" s="22" t="s">
        <v>173</v>
      </c>
      <c r="C145" s="23"/>
      <c r="D145" s="23"/>
      <c r="E145" s="23"/>
      <c r="F145" s="23"/>
      <c r="G145" s="23"/>
      <c r="H145" s="24"/>
    </row>
    <row r="146" spans="1:10" s="2" customFormat="1" hidden="1" x14ac:dyDescent="0.45">
      <c r="A146" s="108">
        <v>1</v>
      </c>
      <c r="B146" s="199" t="s">
        <v>105</v>
      </c>
      <c r="C146" s="77" t="s">
        <v>66</v>
      </c>
      <c r="D146" s="77"/>
      <c r="E146" s="256" t="str">
        <f t="shared" ref="E146:E155" si="52">IF(I146&lt;&gt;"",1,"")</f>
        <v/>
      </c>
      <c r="F146" s="256" t="str">
        <f t="shared" ref="F146:F155" si="53">IF(I146&lt;&gt;"",J146,"")</f>
        <v/>
      </c>
      <c r="G146" s="159" t="str">
        <f t="shared" ref="G146:G155" si="54">IF(J146&lt;&gt;"rumus","1 x "&amp;J146&amp;" = "&amp;J146,"rumus")</f>
        <v>rumus</v>
      </c>
      <c r="H146" s="77" t="s">
        <v>66</v>
      </c>
      <c r="I146" s="38"/>
      <c r="J146" s="27" t="str">
        <f>IF(I146&lt;&gt;"",IF(I146="Menjadi anggota tim penilai jabatan akademik dosen",1,""),"rumus")</f>
        <v>rumus</v>
      </c>
    </row>
    <row r="147" spans="1:10" s="2" customFormat="1" hidden="1" x14ac:dyDescent="0.45">
      <c r="A147" s="108">
        <v>2</v>
      </c>
      <c r="B147" s="199" t="s">
        <v>105</v>
      </c>
      <c r="C147" s="77" t="s">
        <v>66</v>
      </c>
      <c r="D147" s="77"/>
      <c r="E147" s="256" t="str">
        <f t="shared" si="52"/>
        <v/>
      </c>
      <c r="F147" s="256" t="str">
        <f t="shared" si="53"/>
        <v/>
      </c>
      <c r="G147" s="159" t="str">
        <f t="shared" si="54"/>
        <v>rumus</v>
      </c>
      <c r="H147" s="77" t="s">
        <v>66</v>
      </c>
      <c r="I147" s="38"/>
      <c r="J147" s="27" t="str">
        <f t="shared" ref="J147:J155" si="55">IF(I147&lt;&gt;"",IF(I147="Menjadi anggota tim penilai jabatan akademik dosen",1,""),"rumus")</f>
        <v>rumus</v>
      </c>
    </row>
    <row r="148" spans="1:10" s="2" customFormat="1" hidden="1" x14ac:dyDescent="0.45">
      <c r="A148" s="108">
        <v>3</v>
      </c>
      <c r="B148" s="199" t="s">
        <v>105</v>
      </c>
      <c r="C148" s="77" t="s">
        <v>66</v>
      </c>
      <c r="D148" s="77"/>
      <c r="E148" s="256" t="str">
        <f t="shared" si="52"/>
        <v/>
      </c>
      <c r="F148" s="256" t="str">
        <f t="shared" si="53"/>
        <v/>
      </c>
      <c r="G148" s="159" t="str">
        <f t="shared" si="54"/>
        <v>rumus</v>
      </c>
      <c r="H148" s="77" t="s">
        <v>66</v>
      </c>
      <c r="I148" s="38"/>
      <c r="J148" s="27" t="str">
        <f t="shared" si="55"/>
        <v>rumus</v>
      </c>
    </row>
    <row r="149" spans="1:10" s="2" customFormat="1" hidden="1" x14ac:dyDescent="0.45">
      <c r="A149" s="108">
        <v>4</v>
      </c>
      <c r="B149" s="199" t="s">
        <v>105</v>
      </c>
      <c r="C149" s="77" t="s">
        <v>66</v>
      </c>
      <c r="D149" s="77"/>
      <c r="E149" s="256" t="str">
        <f t="shared" si="52"/>
        <v/>
      </c>
      <c r="F149" s="256" t="str">
        <f t="shared" si="53"/>
        <v/>
      </c>
      <c r="G149" s="159" t="str">
        <f t="shared" si="54"/>
        <v>rumus</v>
      </c>
      <c r="H149" s="77" t="s">
        <v>66</v>
      </c>
      <c r="I149" s="38"/>
      <c r="J149" s="27" t="str">
        <f t="shared" si="55"/>
        <v>rumus</v>
      </c>
    </row>
    <row r="150" spans="1:10" s="2" customFormat="1" hidden="1" x14ac:dyDescent="0.45">
      <c r="A150" s="108">
        <v>5</v>
      </c>
      <c r="B150" s="199" t="s">
        <v>105</v>
      </c>
      <c r="C150" s="77" t="s">
        <v>66</v>
      </c>
      <c r="D150" s="77"/>
      <c r="E150" s="256" t="str">
        <f t="shared" si="52"/>
        <v/>
      </c>
      <c r="F150" s="256" t="str">
        <f t="shared" si="53"/>
        <v/>
      </c>
      <c r="G150" s="159" t="str">
        <f t="shared" si="54"/>
        <v>rumus</v>
      </c>
      <c r="H150" s="77" t="s">
        <v>66</v>
      </c>
      <c r="I150" s="38"/>
      <c r="J150" s="27" t="str">
        <f t="shared" si="55"/>
        <v>rumus</v>
      </c>
    </row>
    <row r="151" spans="1:10" s="2" customFormat="1" hidden="1" x14ac:dyDescent="0.45">
      <c r="A151" s="108">
        <v>6</v>
      </c>
      <c r="B151" s="199" t="s">
        <v>105</v>
      </c>
      <c r="C151" s="77" t="s">
        <v>66</v>
      </c>
      <c r="D151" s="77"/>
      <c r="E151" s="256" t="str">
        <f t="shared" si="52"/>
        <v/>
      </c>
      <c r="F151" s="256" t="str">
        <f t="shared" si="53"/>
        <v/>
      </c>
      <c r="G151" s="159" t="str">
        <f t="shared" si="54"/>
        <v>rumus</v>
      </c>
      <c r="H151" s="77" t="s">
        <v>66</v>
      </c>
      <c r="I151" s="38"/>
      <c r="J151" s="27" t="str">
        <f t="shared" si="55"/>
        <v>rumus</v>
      </c>
    </row>
    <row r="152" spans="1:10" s="2" customFormat="1" hidden="1" x14ac:dyDescent="0.45">
      <c r="A152" s="108">
        <v>7</v>
      </c>
      <c r="B152" s="199" t="s">
        <v>105</v>
      </c>
      <c r="C152" s="77" t="s">
        <v>66</v>
      </c>
      <c r="D152" s="77"/>
      <c r="E152" s="256" t="str">
        <f t="shared" si="52"/>
        <v/>
      </c>
      <c r="F152" s="256" t="str">
        <f t="shared" si="53"/>
        <v/>
      </c>
      <c r="G152" s="159" t="str">
        <f t="shared" si="54"/>
        <v>rumus</v>
      </c>
      <c r="H152" s="77" t="s">
        <v>66</v>
      </c>
      <c r="I152" s="38"/>
      <c r="J152" s="27" t="str">
        <f t="shared" si="55"/>
        <v>rumus</v>
      </c>
    </row>
    <row r="153" spans="1:10" s="2" customFormat="1" hidden="1" x14ac:dyDescent="0.45">
      <c r="A153" s="108">
        <v>8</v>
      </c>
      <c r="B153" s="199" t="s">
        <v>105</v>
      </c>
      <c r="C153" s="77" t="s">
        <v>66</v>
      </c>
      <c r="D153" s="77"/>
      <c r="E153" s="256" t="str">
        <f t="shared" si="52"/>
        <v/>
      </c>
      <c r="F153" s="256" t="str">
        <f t="shared" si="53"/>
        <v/>
      </c>
      <c r="G153" s="159" t="str">
        <f t="shared" si="54"/>
        <v>rumus</v>
      </c>
      <c r="H153" s="77" t="s">
        <v>66</v>
      </c>
      <c r="I153" s="38"/>
      <c r="J153" s="27" t="str">
        <f t="shared" si="55"/>
        <v>rumus</v>
      </c>
    </row>
    <row r="154" spans="1:10" s="2" customFormat="1" hidden="1" x14ac:dyDescent="0.45">
      <c r="A154" s="108">
        <v>9</v>
      </c>
      <c r="B154" s="199" t="s">
        <v>105</v>
      </c>
      <c r="C154" s="77" t="s">
        <v>66</v>
      </c>
      <c r="D154" s="77"/>
      <c r="E154" s="256" t="str">
        <f t="shared" si="52"/>
        <v/>
      </c>
      <c r="F154" s="256" t="str">
        <f t="shared" si="53"/>
        <v/>
      </c>
      <c r="G154" s="159" t="str">
        <f t="shared" si="54"/>
        <v>rumus</v>
      </c>
      <c r="H154" s="77" t="s">
        <v>66</v>
      </c>
      <c r="I154" s="38"/>
      <c r="J154" s="27" t="str">
        <f t="shared" si="55"/>
        <v>rumus</v>
      </c>
    </row>
    <row r="155" spans="1:10" s="2" customFormat="1" hidden="1" x14ac:dyDescent="0.45">
      <c r="A155" s="108">
        <v>10</v>
      </c>
      <c r="B155" s="199" t="s">
        <v>105</v>
      </c>
      <c r="C155" s="77" t="s">
        <v>66</v>
      </c>
      <c r="D155" s="77"/>
      <c r="E155" s="256" t="str">
        <f t="shared" si="52"/>
        <v/>
      </c>
      <c r="F155" s="256" t="str">
        <f t="shared" si="53"/>
        <v/>
      </c>
      <c r="G155" s="159" t="str">
        <f t="shared" si="54"/>
        <v>rumus</v>
      </c>
      <c r="H155" s="77" t="s">
        <v>66</v>
      </c>
      <c r="I155" s="38"/>
      <c r="J155" s="27" t="str">
        <f t="shared" si="55"/>
        <v>rumus</v>
      </c>
    </row>
    <row r="156" spans="1:10" s="2" customFormat="1" x14ac:dyDescent="0.45">
      <c r="A156" s="100"/>
      <c r="B156" s="968" t="s">
        <v>67</v>
      </c>
      <c r="C156" s="969"/>
      <c r="D156" s="969"/>
      <c r="E156" s="969"/>
      <c r="F156" s="969"/>
      <c r="G156" s="118">
        <f>SUM(J146:J155)</f>
        <v>0</v>
      </c>
      <c r="H156" s="126"/>
    </row>
    <row r="157" spans="1:10" s="2" customFormat="1" x14ac:dyDescent="0.45">
      <c r="A157" s="68"/>
      <c r="B157" s="968" t="s">
        <v>184</v>
      </c>
      <c r="C157" s="969"/>
      <c r="D157" s="969"/>
      <c r="E157" s="969"/>
      <c r="F157" s="969"/>
      <c r="G157" s="43">
        <f>G36+G48+G60+G72+G84+G108+G120+G132+G144+G156+G96</f>
        <v>20</v>
      </c>
      <c r="H157" s="98"/>
      <c r="I157" s="189"/>
    </row>
    <row r="158" spans="1:10" s="2" customFormat="1" x14ac:dyDescent="0.45">
      <c r="A158" s="101"/>
      <c r="B158" s="51"/>
      <c r="C158" s="51"/>
      <c r="D158" s="254"/>
      <c r="E158" s="51"/>
      <c r="F158" s="51"/>
      <c r="G158" s="102"/>
      <c r="H158" s="103"/>
    </row>
    <row r="159" spans="1:10" s="7" customFormat="1" x14ac:dyDescent="0.45">
      <c r="A159" s="984" t="s">
        <v>53</v>
      </c>
      <c r="B159" s="984"/>
      <c r="C159" s="984"/>
      <c r="D159" s="984"/>
      <c r="E159" s="984"/>
      <c r="F159" s="984"/>
      <c r="G159" s="984"/>
      <c r="H159" s="984"/>
    </row>
    <row r="160" spans="1:10" s="2" customFormat="1" x14ac:dyDescent="0.45">
      <c r="A160" s="985"/>
      <c r="B160" s="985"/>
      <c r="C160" s="985"/>
      <c r="D160" s="985"/>
      <c r="E160" s="985"/>
      <c r="F160" s="985"/>
      <c r="G160" s="985"/>
      <c r="H160" s="985"/>
    </row>
    <row r="161" spans="1:8" s="2" customFormat="1" x14ac:dyDescent="0.45">
      <c r="G161" s="74" t="s">
        <v>250</v>
      </c>
      <c r="H161" s="182" t="str">
        <f ca="1">"      "&amp;TEXT(TODAY()," mmmm yyyy")</f>
        <v xml:space="preserve">       January 2019</v>
      </c>
    </row>
    <row r="162" spans="1:8" s="2" customFormat="1" x14ac:dyDescent="0.45">
      <c r="E162" s="988" t="str">
        <f>'LAMPIRAN II DONE'!G1162</f>
        <v>Ketua Program Studi D3 Teknik Komputer Fakultas Ilmu Terapan</v>
      </c>
      <c r="F162" s="988"/>
      <c r="G162" s="988"/>
      <c r="H162" s="988"/>
    </row>
    <row r="163" spans="1:8" x14ac:dyDescent="0.45">
      <c r="E163" s="988"/>
      <c r="F163" s="988"/>
      <c r="G163" s="988"/>
      <c r="H163" s="988"/>
    </row>
    <row r="164" spans="1:8" x14ac:dyDescent="0.45">
      <c r="E164" s="11"/>
      <c r="F164" s="11"/>
      <c r="G164" s="11"/>
      <c r="H164" s="11"/>
    </row>
    <row r="165" spans="1:8" x14ac:dyDescent="0.45">
      <c r="F165"/>
    </row>
    <row r="166" spans="1:8" x14ac:dyDescent="0.45">
      <c r="F166"/>
    </row>
    <row r="167" spans="1:8" x14ac:dyDescent="0.45">
      <c r="F167"/>
    </row>
    <row r="168" spans="1:8" x14ac:dyDescent="0.45">
      <c r="E168" s="987" t="str">
        <f>'LAMPIRAN II DONE'!G1168</f>
        <v>Setia Juli Irzal Ismail</v>
      </c>
      <c r="F168" s="987"/>
      <c r="G168" s="987"/>
      <c r="H168" s="987"/>
    </row>
    <row r="170" spans="1:8" s="2" customFormat="1" x14ac:dyDescent="0.45">
      <c r="A170" s="986" t="s">
        <v>54</v>
      </c>
      <c r="B170" s="986"/>
      <c r="C170" s="986"/>
      <c r="D170" s="986"/>
      <c r="E170" s="986"/>
      <c r="F170" s="986"/>
      <c r="G170" s="986"/>
      <c r="H170" s="986"/>
    </row>
    <row r="171" spans="1:8" s="2" customFormat="1" x14ac:dyDescent="0.45">
      <c r="A171" s="986" t="s">
        <v>55</v>
      </c>
      <c r="B171" s="986"/>
      <c r="C171" s="986"/>
      <c r="D171" s="986"/>
      <c r="E171" s="986"/>
      <c r="F171" s="986"/>
      <c r="G171" s="986"/>
      <c r="H171" s="986"/>
    </row>
    <row r="172" spans="1:8" s="2" customFormat="1" x14ac:dyDescent="0.45">
      <c r="A172" s="986" t="s">
        <v>59</v>
      </c>
      <c r="B172" s="986"/>
      <c r="C172" s="986"/>
      <c r="D172" s="986"/>
      <c r="E172" s="986"/>
      <c r="F172" s="986"/>
      <c r="G172" s="986"/>
      <c r="H172" s="986"/>
    </row>
    <row r="173" spans="1:8" s="2" customFormat="1" x14ac:dyDescent="0.45">
      <c r="A173" s="983" t="s">
        <v>56</v>
      </c>
      <c r="B173" s="983"/>
      <c r="C173" s="983"/>
      <c r="D173" s="983"/>
      <c r="E173" s="983"/>
      <c r="F173" s="983"/>
      <c r="G173" s="983"/>
      <c r="H173" s="983"/>
    </row>
    <row r="174" spans="1:8" x14ac:dyDescent="0.45">
      <c r="E174" s="987"/>
      <c r="F174" s="987"/>
      <c r="G174" s="987"/>
      <c r="H174" s="987"/>
    </row>
  </sheetData>
  <mergeCells count="37">
    <mergeCell ref="B96:F96"/>
    <mergeCell ref="B36:F36"/>
    <mergeCell ref="C12:H12"/>
    <mergeCell ref="C13:H13"/>
    <mergeCell ref="C14:H14"/>
    <mergeCell ref="C16:H16"/>
    <mergeCell ref="C17:H17"/>
    <mergeCell ref="E174:H174"/>
    <mergeCell ref="A173:H173"/>
    <mergeCell ref="A172:H172"/>
    <mergeCell ref="A159:H159"/>
    <mergeCell ref="A160:H160"/>
    <mergeCell ref="A170:H170"/>
    <mergeCell ref="A171:H171"/>
    <mergeCell ref="E168:H168"/>
    <mergeCell ref="E162:H163"/>
    <mergeCell ref="A7:H7"/>
    <mergeCell ref="A8:H8"/>
    <mergeCell ref="A9:H9"/>
    <mergeCell ref="C10:H10"/>
    <mergeCell ref="F6:H6"/>
    <mergeCell ref="C11:H11"/>
    <mergeCell ref="A21:H21"/>
    <mergeCell ref="A15:H15"/>
    <mergeCell ref="B157:F157"/>
    <mergeCell ref="B120:F120"/>
    <mergeCell ref="B132:F132"/>
    <mergeCell ref="B156:F156"/>
    <mergeCell ref="B108:F108"/>
    <mergeCell ref="B72:F72"/>
    <mergeCell ref="B60:F60"/>
    <mergeCell ref="B84:F84"/>
    <mergeCell ref="B144:F144"/>
    <mergeCell ref="C18:H18"/>
    <mergeCell ref="C19:H19"/>
    <mergeCell ref="C20:H20"/>
    <mergeCell ref="B48:F48"/>
  </mergeCells>
  <conditionalFormatting sqref="G110 G119 G38:G47 G50:G59 G62:G71 G74:G83 G122:G131 G134:G143 G146:G155">
    <cfRule type="expression" dxfId="197" priority="211">
      <formula>G38="rumus"</formula>
    </cfRule>
  </conditionalFormatting>
  <conditionalFormatting sqref="C10:D10">
    <cfRule type="expression" dxfId="196" priority="199">
      <formula>C10=""</formula>
    </cfRule>
  </conditionalFormatting>
  <conditionalFormatting sqref="B38 B50 B62 B74 B47 B59 B71 B83">
    <cfRule type="expression" dxfId="195" priority="197">
      <formula>B38="kegiatan"</formula>
    </cfRule>
  </conditionalFormatting>
  <conditionalFormatting sqref="B119">
    <cfRule type="expression" dxfId="194" priority="190">
      <formula>B119="nama penghargaan"</formula>
    </cfRule>
  </conditionalFormatting>
  <conditionalFormatting sqref="B122 B131">
    <cfRule type="expression" dxfId="193" priority="189">
      <formula>B122="judul buku"</formula>
    </cfRule>
  </conditionalFormatting>
  <conditionalFormatting sqref="B134 B146 B143 B155">
    <cfRule type="expression" dxfId="192" priority="188">
      <formula>B134="prestasi"</formula>
    </cfRule>
  </conditionalFormatting>
  <conditionalFormatting sqref="G26:G35">
    <cfRule type="expression" dxfId="191" priority="152">
      <formula>G26="rumus"</formula>
    </cfRule>
  </conditionalFormatting>
  <conditionalFormatting sqref="G39:G46">
    <cfRule type="expression" dxfId="190" priority="149">
      <formula>G39="rumus"</formula>
    </cfRule>
  </conditionalFormatting>
  <conditionalFormatting sqref="G51:G57">
    <cfRule type="expression" dxfId="189" priority="147">
      <formula>G51="rumus"</formula>
    </cfRule>
  </conditionalFormatting>
  <conditionalFormatting sqref="G58">
    <cfRule type="expression" dxfId="188" priority="145">
      <formula>G58="rumus"</formula>
    </cfRule>
  </conditionalFormatting>
  <conditionalFormatting sqref="G63:G70">
    <cfRule type="expression" dxfId="187" priority="143">
      <formula>G63="rumus"</formula>
    </cfRule>
  </conditionalFormatting>
  <conditionalFormatting sqref="G75:G82">
    <cfRule type="expression" dxfId="186" priority="141">
      <formula>G75="rumus"</formula>
    </cfRule>
  </conditionalFormatting>
  <conditionalFormatting sqref="G98:G107">
    <cfRule type="expression" dxfId="185" priority="139">
      <formula>G98="rumus"</formula>
    </cfRule>
  </conditionalFormatting>
  <conditionalFormatting sqref="G111:G118">
    <cfRule type="expression" dxfId="184" priority="137">
      <formula>G111="rumus"</formula>
    </cfRule>
  </conditionalFormatting>
  <conditionalFormatting sqref="G123:G130">
    <cfRule type="expression" dxfId="183" priority="135">
      <formula>G123="rumus"</formula>
    </cfRule>
  </conditionalFormatting>
  <conditionalFormatting sqref="G135:G142">
    <cfRule type="expression" dxfId="182" priority="133">
      <formula>G135="rumus"</formula>
    </cfRule>
  </conditionalFormatting>
  <conditionalFormatting sqref="G147:G154">
    <cfRule type="expression" dxfId="181" priority="131">
      <formula>G147="rumus"</formula>
    </cfRule>
  </conditionalFormatting>
  <conditionalFormatting sqref="B100:B107">
    <cfRule type="expression" dxfId="180" priority="120">
      <formula>B100="kegiatan"</formula>
    </cfRule>
  </conditionalFormatting>
  <conditionalFormatting sqref="B75:B82">
    <cfRule type="expression" dxfId="179" priority="105">
      <formula>B75="kegiatan"</formula>
    </cfRule>
  </conditionalFormatting>
  <conditionalFormatting sqref="B27:B35">
    <cfRule type="expression" dxfId="178" priority="110">
      <formula>B27="kegiatan"</formula>
    </cfRule>
  </conditionalFormatting>
  <conditionalFormatting sqref="B39:B46">
    <cfRule type="expression" dxfId="177" priority="109">
      <formula>B39="kegiatan"</formula>
    </cfRule>
  </conditionalFormatting>
  <conditionalFormatting sqref="B51:B58">
    <cfRule type="expression" dxfId="176" priority="108">
      <formula>B51="kegiatan"</formula>
    </cfRule>
  </conditionalFormatting>
  <conditionalFormatting sqref="B63">
    <cfRule type="expression" dxfId="175" priority="107">
      <formula>B63="kegiatan"</formula>
    </cfRule>
  </conditionalFormatting>
  <conditionalFormatting sqref="B64:B70">
    <cfRule type="expression" dxfId="174" priority="106">
      <formula>B64="kegiatan"</formula>
    </cfRule>
  </conditionalFormatting>
  <conditionalFormatting sqref="B113:B118">
    <cfRule type="expression" dxfId="173" priority="104">
      <formula>B113="nama penghargaan"</formula>
    </cfRule>
  </conditionalFormatting>
  <conditionalFormatting sqref="B123:B130">
    <cfRule type="expression" dxfId="172" priority="103">
      <formula>B123="judul buku"</formula>
    </cfRule>
  </conditionalFormatting>
  <conditionalFormatting sqref="B135:B142">
    <cfRule type="expression" dxfId="171" priority="102">
      <formula>B135="prestasi"</formula>
    </cfRule>
  </conditionalFormatting>
  <conditionalFormatting sqref="B147:B154">
    <cfRule type="expression" dxfId="170" priority="101">
      <formula>B147="prestasi"</formula>
    </cfRule>
  </conditionalFormatting>
  <conditionalFormatting sqref="C11:D14">
    <cfRule type="expression" dxfId="169" priority="100">
      <formula>C11=""</formula>
    </cfRule>
  </conditionalFormatting>
  <conditionalFormatting sqref="C16:D17 C19:D20">
    <cfRule type="expression" dxfId="168" priority="99">
      <formula>C16=""</formula>
    </cfRule>
  </conditionalFormatting>
  <conditionalFormatting sqref="G26:G35">
    <cfRule type="expression" dxfId="167" priority="98">
      <formula>G26="rumus"</formula>
    </cfRule>
  </conditionalFormatting>
  <conditionalFormatting sqref="G26:G35">
    <cfRule type="expression" dxfId="166" priority="97">
      <formula>G26="rumus"</formula>
    </cfRule>
  </conditionalFormatting>
  <conditionalFormatting sqref="G26:G35">
    <cfRule type="expression" dxfId="165" priority="96">
      <formula>G26="rumus"</formula>
    </cfRule>
  </conditionalFormatting>
  <conditionalFormatting sqref="G26:G35">
    <cfRule type="expression" dxfId="164" priority="95">
      <formula>G26="rumus"</formula>
    </cfRule>
  </conditionalFormatting>
  <conditionalFormatting sqref="G26:G35">
    <cfRule type="expression" dxfId="163" priority="94">
      <formula>G26="rumus"</formula>
    </cfRule>
  </conditionalFormatting>
  <conditionalFormatting sqref="G38:G47">
    <cfRule type="expression" dxfId="162" priority="93">
      <formula>G38="rumus"</formula>
    </cfRule>
  </conditionalFormatting>
  <conditionalFormatting sqref="G38:G47">
    <cfRule type="expression" dxfId="161" priority="92">
      <formula>G38="rumus"</formula>
    </cfRule>
  </conditionalFormatting>
  <conditionalFormatting sqref="G38:G47">
    <cfRule type="expression" dxfId="160" priority="91">
      <formula>G38="rumus"</formula>
    </cfRule>
  </conditionalFormatting>
  <conditionalFormatting sqref="G38:G47">
    <cfRule type="expression" dxfId="159" priority="90">
      <formula>G38="rumus"</formula>
    </cfRule>
  </conditionalFormatting>
  <conditionalFormatting sqref="G38:G47">
    <cfRule type="expression" dxfId="158" priority="89">
      <formula>G38="rumus"</formula>
    </cfRule>
  </conditionalFormatting>
  <conditionalFormatting sqref="G38:G47">
    <cfRule type="expression" dxfId="157" priority="88">
      <formula>G38="rumus"</formula>
    </cfRule>
  </conditionalFormatting>
  <conditionalFormatting sqref="G98:G107">
    <cfRule type="expression" dxfId="156" priority="56">
      <formula>G98="rumus"</formula>
    </cfRule>
  </conditionalFormatting>
  <conditionalFormatting sqref="G50:G59">
    <cfRule type="expression" dxfId="155" priority="87">
      <formula>G50="rumus"</formula>
    </cfRule>
  </conditionalFormatting>
  <conditionalFormatting sqref="G50:G59">
    <cfRule type="expression" dxfId="154" priority="86">
      <formula>G50="rumus"</formula>
    </cfRule>
  </conditionalFormatting>
  <conditionalFormatting sqref="G50:G59">
    <cfRule type="expression" dxfId="153" priority="85">
      <formula>G50="rumus"</formula>
    </cfRule>
  </conditionalFormatting>
  <conditionalFormatting sqref="G50:G59">
    <cfRule type="expression" dxfId="152" priority="84">
      <formula>G50="rumus"</formula>
    </cfRule>
  </conditionalFormatting>
  <conditionalFormatting sqref="G50:G59">
    <cfRule type="expression" dxfId="151" priority="83">
      <formula>G50="rumus"</formula>
    </cfRule>
  </conditionalFormatting>
  <conditionalFormatting sqref="G50:G59">
    <cfRule type="expression" dxfId="150" priority="82">
      <formula>G50="rumus"</formula>
    </cfRule>
  </conditionalFormatting>
  <conditionalFormatting sqref="G62:G71">
    <cfRule type="expression" dxfId="149" priority="81">
      <formula>G62="rumus"</formula>
    </cfRule>
  </conditionalFormatting>
  <conditionalFormatting sqref="G62:G71">
    <cfRule type="expression" dxfId="148" priority="80">
      <formula>G62="rumus"</formula>
    </cfRule>
  </conditionalFormatting>
  <conditionalFormatting sqref="G62:G71">
    <cfRule type="expression" dxfId="147" priority="79">
      <formula>G62="rumus"</formula>
    </cfRule>
  </conditionalFormatting>
  <conditionalFormatting sqref="G62:G71">
    <cfRule type="expression" dxfId="146" priority="78">
      <formula>G62="rumus"</formula>
    </cfRule>
  </conditionalFormatting>
  <conditionalFormatting sqref="G62:G71">
    <cfRule type="expression" dxfId="145" priority="77">
      <formula>G62="rumus"</formula>
    </cfRule>
  </conditionalFormatting>
  <conditionalFormatting sqref="G62:G71">
    <cfRule type="expression" dxfId="144" priority="76">
      <formula>G62="rumus"</formula>
    </cfRule>
  </conditionalFormatting>
  <conditionalFormatting sqref="G74:G83">
    <cfRule type="expression" dxfId="143" priority="75">
      <formula>G74="rumus"</formula>
    </cfRule>
  </conditionalFormatting>
  <conditionalFormatting sqref="G74:G83">
    <cfRule type="expression" dxfId="142" priority="74">
      <formula>G74="rumus"</formula>
    </cfRule>
  </conditionalFormatting>
  <conditionalFormatting sqref="G74:G83">
    <cfRule type="expression" dxfId="141" priority="73">
      <formula>G74="rumus"</formula>
    </cfRule>
  </conditionalFormatting>
  <conditionalFormatting sqref="G74:G83">
    <cfRule type="expression" dxfId="140" priority="72">
      <formula>G74="rumus"</formula>
    </cfRule>
  </conditionalFormatting>
  <conditionalFormatting sqref="G74:G83">
    <cfRule type="expression" dxfId="139" priority="71">
      <formula>G74="rumus"</formula>
    </cfRule>
  </conditionalFormatting>
  <conditionalFormatting sqref="G74:G83">
    <cfRule type="expression" dxfId="138" priority="70">
      <formula>G74="rumus"</formula>
    </cfRule>
  </conditionalFormatting>
  <conditionalFormatting sqref="G98">
    <cfRule type="expression" dxfId="137" priority="69">
      <formula>G98="rumus"</formula>
    </cfRule>
  </conditionalFormatting>
  <conditionalFormatting sqref="G98">
    <cfRule type="expression" dxfId="136" priority="68">
      <formula>G98="rumus"</formula>
    </cfRule>
  </conditionalFormatting>
  <conditionalFormatting sqref="G98">
    <cfRule type="expression" dxfId="135" priority="67">
      <formula>G98="rumus"</formula>
    </cfRule>
  </conditionalFormatting>
  <conditionalFormatting sqref="G98">
    <cfRule type="expression" dxfId="134" priority="66">
      <formula>G98="rumus"</formula>
    </cfRule>
  </conditionalFormatting>
  <conditionalFormatting sqref="G98">
    <cfRule type="expression" dxfId="133" priority="65">
      <formula>G98="rumus"</formula>
    </cfRule>
  </conditionalFormatting>
  <conditionalFormatting sqref="G98">
    <cfRule type="expression" dxfId="132" priority="64">
      <formula>G98="rumus"</formula>
    </cfRule>
  </conditionalFormatting>
  <conditionalFormatting sqref="G98">
    <cfRule type="expression" dxfId="131" priority="63">
      <formula>G98="rumus"</formula>
    </cfRule>
  </conditionalFormatting>
  <conditionalFormatting sqref="G98:G107">
    <cfRule type="expression" dxfId="130" priority="62">
      <formula>G98="rumus"</formula>
    </cfRule>
  </conditionalFormatting>
  <conditionalFormatting sqref="G98:G107">
    <cfRule type="expression" dxfId="129" priority="61">
      <formula>G98="rumus"</formula>
    </cfRule>
  </conditionalFormatting>
  <conditionalFormatting sqref="G98:G107">
    <cfRule type="expression" dxfId="128" priority="60">
      <formula>G98="rumus"</formula>
    </cfRule>
  </conditionalFormatting>
  <conditionalFormatting sqref="G98:G107">
    <cfRule type="expression" dxfId="127" priority="59">
      <formula>G98="rumus"</formula>
    </cfRule>
  </conditionalFormatting>
  <conditionalFormatting sqref="G98:G107">
    <cfRule type="expression" dxfId="126" priority="58">
      <formula>G98="rumus"</formula>
    </cfRule>
  </conditionalFormatting>
  <conditionalFormatting sqref="G98:G107">
    <cfRule type="expression" dxfId="125" priority="57">
      <formula>G98="rumus"</formula>
    </cfRule>
  </conditionalFormatting>
  <conditionalFormatting sqref="G86:G95">
    <cfRule type="expression" dxfId="124" priority="55">
      <formula>G86="rumus"</formula>
    </cfRule>
  </conditionalFormatting>
  <conditionalFormatting sqref="B86:B95">
    <cfRule type="expression" dxfId="123" priority="54">
      <formula>B86="kegiatan"</formula>
    </cfRule>
  </conditionalFormatting>
  <conditionalFormatting sqref="G86:G95">
    <cfRule type="expression" dxfId="122" priority="53">
      <formula>G86="rumus"</formula>
    </cfRule>
  </conditionalFormatting>
  <conditionalFormatting sqref="G86">
    <cfRule type="expression" dxfId="121" priority="52">
      <formula>G86="rumus"</formula>
    </cfRule>
  </conditionalFormatting>
  <conditionalFormatting sqref="G86">
    <cfRule type="expression" dxfId="120" priority="51">
      <formula>G86="rumus"</formula>
    </cfRule>
  </conditionalFormatting>
  <conditionalFormatting sqref="G86">
    <cfRule type="expression" dxfId="119" priority="50">
      <formula>G86="rumus"</formula>
    </cfRule>
  </conditionalFormatting>
  <conditionalFormatting sqref="G86">
    <cfRule type="expression" dxfId="118" priority="49">
      <formula>G86="rumus"</formula>
    </cfRule>
  </conditionalFormatting>
  <conditionalFormatting sqref="G86">
    <cfRule type="expression" dxfId="117" priority="48">
      <formula>G86="rumus"</formula>
    </cfRule>
  </conditionalFormatting>
  <conditionalFormatting sqref="G86">
    <cfRule type="expression" dxfId="116" priority="47">
      <formula>G86="rumus"</formula>
    </cfRule>
  </conditionalFormatting>
  <conditionalFormatting sqref="G86">
    <cfRule type="expression" dxfId="115" priority="46">
      <formula>G86="rumus"</formula>
    </cfRule>
  </conditionalFormatting>
  <conditionalFormatting sqref="G86:G95">
    <cfRule type="expression" dxfId="114" priority="45">
      <formula>G86="rumus"</formula>
    </cfRule>
  </conditionalFormatting>
  <conditionalFormatting sqref="G86:G95">
    <cfRule type="expression" dxfId="113" priority="44">
      <formula>G86="rumus"</formula>
    </cfRule>
  </conditionalFormatting>
  <conditionalFormatting sqref="G86:G95">
    <cfRule type="expression" dxfId="112" priority="43">
      <formula>G86="rumus"</formula>
    </cfRule>
  </conditionalFormatting>
  <conditionalFormatting sqref="G86:G95">
    <cfRule type="expression" dxfId="111" priority="42">
      <formula>G86="rumus"</formula>
    </cfRule>
  </conditionalFormatting>
  <conditionalFormatting sqref="G86:G95">
    <cfRule type="expression" dxfId="110" priority="41">
      <formula>G86="rumus"</formula>
    </cfRule>
  </conditionalFormatting>
  <conditionalFormatting sqref="G86:G95">
    <cfRule type="expression" dxfId="109" priority="40">
      <formula>G86="rumus"</formula>
    </cfRule>
  </conditionalFormatting>
  <conditionalFormatting sqref="G110:G119">
    <cfRule type="expression" dxfId="108" priority="39">
      <formula>G110="rumus"</formula>
    </cfRule>
  </conditionalFormatting>
  <conditionalFormatting sqref="G110:G119">
    <cfRule type="expression" dxfId="107" priority="38">
      <formula>G110="rumus"</formula>
    </cfRule>
  </conditionalFormatting>
  <conditionalFormatting sqref="G110:G119">
    <cfRule type="expression" dxfId="106" priority="37">
      <formula>G110="rumus"</formula>
    </cfRule>
  </conditionalFormatting>
  <conditionalFormatting sqref="G110:G119">
    <cfRule type="expression" dxfId="105" priority="36">
      <formula>G110="rumus"</formula>
    </cfRule>
  </conditionalFormatting>
  <conditionalFormatting sqref="G110:G119">
    <cfRule type="expression" dxfId="104" priority="35">
      <formula>G110="rumus"</formula>
    </cfRule>
  </conditionalFormatting>
  <conditionalFormatting sqref="G110:G119">
    <cfRule type="expression" dxfId="103" priority="34">
      <formula>G110="rumus"</formula>
    </cfRule>
  </conditionalFormatting>
  <conditionalFormatting sqref="G110:G119">
    <cfRule type="expression" dxfId="102" priority="33">
      <formula>G110="rumus"</formula>
    </cfRule>
  </conditionalFormatting>
  <conditionalFormatting sqref="G110:G119">
    <cfRule type="expression" dxfId="101" priority="32">
      <formula>G110="rumus"</formula>
    </cfRule>
  </conditionalFormatting>
  <conditionalFormatting sqref="G122:G131">
    <cfRule type="expression" dxfId="100" priority="31">
      <formula>G122="rumus"</formula>
    </cfRule>
  </conditionalFormatting>
  <conditionalFormatting sqref="G122:G131">
    <cfRule type="expression" dxfId="99" priority="30">
      <formula>G122="rumus"</formula>
    </cfRule>
  </conditionalFormatting>
  <conditionalFormatting sqref="G122:G131">
    <cfRule type="expression" dxfId="98" priority="29">
      <formula>G122="rumus"</formula>
    </cfRule>
  </conditionalFormatting>
  <conditionalFormatting sqref="G122:G131">
    <cfRule type="expression" dxfId="97" priority="28">
      <formula>G122="rumus"</formula>
    </cfRule>
  </conditionalFormatting>
  <conditionalFormatting sqref="G122:G131">
    <cfRule type="expression" dxfId="96" priority="27">
      <formula>G122="rumus"</formula>
    </cfRule>
  </conditionalFormatting>
  <conditionalFormatting sqref="G122:G131">
    <cfRule type="expression" dxfId="95" priority="26">
      <formula>G122="rumus"</formula>
    </cfRule>
  </conditionalFormatting>
  <conditionalFormatting sqref="G122:G131">
    <cfRule type="expression" dxfId="94" priority="25">
      <formula>G122="rumus"</formula>
    </cfRule>
  </conditionalFormatting>
  <conditionalFormatting sqref="G122:G131">
    <cfRule type="expression" dxfId="93" priority="24">
      <formula>G122="rumus"</formula>
    </cfRule>
  </conditionalFormatting>
  <conditionalFormatting sqref="G134:G143">
    <cfRule type="expression" dxfId="92" priority="23">
      <formula>G134="rumus"</formula>
    </cfRule>
  </conditionalFormatting>
  <conditionalFormatting sqref="G134:G143">
    <cfRule type="expression" dxfId="91" priority="22">
      <formula>G134="rumus"</formula>
    </cfRule>
  </conditionalFormatting>
  <conditionalFormatting sqref="G134:G143">
    <cfRule type="expression" dxfId="90" priority="21">
      <formula>G134="rumus"</formula>
    </cfRule>
  </conditionalFormatting>
  <conditionalFormatting sqref="G134:G143">
    <cfRule type="expression" dxfId="89" priority="20">
      <formula>G134="rumus"</formula>
    </cfRule>
  </conditionalFormatting>
  <conditionalFormatting sqref="G134:G143">
    <cfRule type="expression" dxfId="88" priority="19">
      <formula>G134="rumus"</formula>
    </cfRule>
  </conditionalFormatting>
  <conditionalFormatting sqref="G134:G143">
    <cfRule type="expression" dxfId="87" priority="18">
      <formula>G134="rumus"</formula>
    </cfRule>
  </conditionalFormatting>
  <conditionalFormatting sqref="G134:G143">
    <cfRule type="expression" dxfId="86" priority="17">
      <formula>G134="rumus"</formula>
    </cfRule>
  </conditionalFormatting>
  <conditionalFormatting sqref="G134:G143">
    <cfRule type="expression" dxfId="85" priority="16">
      <formula>G134="rumus"</formula>
    </cfRule>
  </conditionalFormatting>
  <conditionalFormatting sqref="G146:G155">
    <cfRule type="expression" dxfId="84" priority="15">
      <formula>G146="rumus"</formula>
    </cfRule>
  </conditionalFormatting>
  <conditionalFormatting sqref="G146:G155">
    <cfRule type="expression" dxfId="83" priority="14">
      <formula>G146="rumus"</formula>
    </cfRule>
  </conditionalFormatting>
  <conditionalFormatting sqref="G146:G155">
    <cfRule type="expression" dxfId="82" priority="13">
      <formula>G146="rumus"</formula>
    </cfRule>
  </conditionalFormatting>
  <conditionalFormatting sqref="G146:G155">
    <cfRule type="expression" dxfId="81" priority="12">
      <formula>G146="rumus"</formula>
    </cfRule>
  </conditionalFormatting>
  <conditionalFormatting sqref="G146:G155">
    <cfRule type="expression" dxfId="80" priority="11">
      <formula>G146="rumus"</formula>
    </cfRule>
  </conditionalFormatting>
  <conditionalFormatting sqref="G146:G155">
    <cfRule type="expression" dxfId="79" priority="10">
      <formula>G146="rumus"</formula>
    </cfRule>
  </conditionalFormatting>
  <conditionalFormatting sqref="G146:G155">
    <cfRule type="expression" dxfId="78" priority="9">
      <formula>G146="rumus"</formula>
    </cfRule>
  </conditionalFormatting>
  <conditionalFormatting sqref="G146:G155">
    <cfRule type="expression" dxfId="77" priority="8">
      <formula>G146="rumus"</formula>
    </cfRule>
  </conditionalFormatting>
  <conditionalFormatting sqref="C18:D18">
    <cfRule type="expression" dxfId="76" priority="7">
      <formula>C18=""</formula>
    </cfRule>
  </conditionalFormatting>
  <conditionalFormatting sqref="B26">
    <cfRule type="expression" dxfId="75" priority="6">
      <formula>B26="kegiatan"</formula>
    </cfRule>
  </conditionalFormatting>
  <conditionalFormatting sqref="B98">
    <cfRule type="expression" dxfId="74" priority="5">
      <formula>B98="kegiatan"</formula>
    </cfRule>
  </conditionalFormatting>
  <conditionalFormatting sqref="B99">
    <cfRule type="expression" dxfId="73" priority="4">
      <formula>B99="kegiatan"</formula>
    </cfRule>
  </conditionalFormatting>
  <conditionalFormatting sqref="B111">
    <cfRule type="expression" dxfId="72" priority="3">
      <formula>B111="nama penghargaan"</formula>
    </cfRule>
  </conditionalFormatting>
  <conditionalFormatting sqref="B112">
    <cfRule type="expression" dxfId="71" priority="2">
      <formula>B112="nama penghargaan"</formula>
    </cfRule>
  </conditionalFormatting>
  <conditionalFormatting sqref="B110">
    <cfRule type="expression" dxfId="70" priority="1">
      <formula>B110="nama penghargaan"</formula>
    </cfRule>
  </conditionalFormatting>
  <dataValidations xWindow="866" yWindow="373" count="11">
    <dataValidation type="list" allowBlank="1" showInputMessage="1" showErrorMessage="1" prompt="pilih dengan mengklik segitiga dipojok kotak" sqref="I62:I71" xr:uid="{00000000-0002-0000-0500-000000000000}">
      <formula1>"Tiap kepanitiaan "</formula1>
    </dataValidation>
    <dataValidation type="list" allowBlank="1" showInputMessage="1" showErrorMessage="1" prompt="pilih dengan mengklik segitiga dipojok kotak" sqref="I38:I47" xr:uid="{00000000-0002-0000-0500-000001000000}">
      <formula1>"a.1).Panitia pusat sebagai Ketua/Wakil ketua,a.2).Panitia pusat sebagai Anggota,b.1).Panitia Daerah sebagai Ketua/Wakil Ketua,b.2).Panitia Daerah sebagai Anggota"</formula1>
    </dataValidation>
    <dataValidation type="list" allowBlank="1" showInputMessage="1" showErrorMessage="1" prompt="pilih dengan mengklik segitiga dipojok kotak" sqref="I74:I83" xr:uid="{00000000-0002-0000-0500-000002000000}">
      <formula1>"a. Sebagai ketua delegasi,b. Sebagai anggota"</formula1>
    </dataValidation>
    <dataValidation type="list" allowBlank="1" showInputMessage="1" showErrorMessage="1" prompt="pilih dengan mengklik segitiga dipojok kotak" sqref="I122:I131" xr:uid="{00000000-0002-0000-0500-000003000000}">
      <formula1>"a.Buku SMTA atau setingkat,b.Buku SMTP atau setingkat,c.Buku SD atau setingkat"</formula1>
    </dataValidation>
    <dataValidation type="list" allowBlank="1" showInputMessage="1" showErrorMessage="1" prompt="pilih dengan mengklik segitiga dipojok kotak" sqref="I50:I59" xr:uid="{00000000-0002-0000-0500-000004000000}">
      <formula1>$U$1:$U$6</formula1>
    </dataValidation>
    <dataValidation type="list" allowBlank="1" showInputMessage="1" showErrorMessage="1" prompt="pilih dengan mengklik segitiga dipojok kotak" sqref="I110:I119" xr:uid="{00000000-0002-0000-0500-000005000000}">
      <formula1>"a.Satya Lancana Karya Satya 30 thn,b.Satya Lancana Karya Satya 20 thn,c.Satya Lancana Karya Satya 10 thn,d.Penghargaan lainnya Tingkat Internasional,e.Penghargaan lainnya Tingkat Nasional,f.Penghargaan lainnyaTingkat Daerah/Lokal"</formula1>
    </dataValidation>
    <dataValidation type="list" allowBlank="1" showInputMessage="1" showErrorMessage="1" prompt="pilih dengan mengklik segitiga dipojok kotak" sqref="I134:I143" xr:uid="{00000000-0002-0000-0500-000006000000}">
      <formula1>"a.Tingkat Internasional tiap piagam/medali,b.Tingkat Nasional tiap piagam/medali,c.Tingkat Daerah/Lokal tiap piagam/medali"</formula1>
    </dataValidation>
    <dataValidation type="list" allowBlank="1" showInputMessage="1" showErrorMessage="1" prompt="pilih dengan mengklik segitiga dipojok kotak" sqref="I146:I155" xr:uid="{00000000-0002-0000-0500-000007000000}">
      <formula1>"Menjadi anggota tim penilai jabatan akademik dosen"</formula1>
    </dataValidation>
    <dataValidation type="list" allowBlank="1" showInputMessage="1" showErrorMessage="1" prompt="pilih dengan mengklik segitiga dipojok kotak" sqref="I98:I107" xr:uid="{00000000-0002-0000-0500-000008000000}">
      <formula1>$V$1:$V$4</formula1>
    </dataValidation>
    <dataValidation type="list" allowBlank="1" showInputMessage="1" showErrorMessage="1" prompt="pilih dengan mengklik segitiga dipojok kotak" sqref="I26:I35" xr:uid="{00000000-0002-0000-0500-000009000000}">
      <formula1>"a.Sebagai Ketua/wakil ketua pertahun,b.Sebagai Anggota pertahun"</formula1>
    </dataValidation>
    <dataValidation type="list" allowBlank="1" showInputMessage="1" showErrorMessage="1" prompt="pilih dengan mengklik segitiga dipojok kotak" sqref="I86:I95" xr:uid="{00000000-0002-0000-0500-00000A000000}">
      <formula1>"Editor/dewan penyunting/dewan redaksi jurnal ilmiah internasional,Editor/dewan penyunting/dewan redaksi jurnal ilmiah nasional"</formula1>
    </dataValidation>
  </dataValidations>
  <pageMargins left="0.25" right="0.25" top="0.75" bottom="0.75" header="0.3" footer="0.3"/>
  <pageSetup paperSize="9" scale="8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H22"/>
  <sheetViews>
    <sheetView tabSelected="1" zoomScale="40" zoomScaleNormal="40" workbookViewId="0">
      <selection activeCell="G9" sqref="G9"/>
    </sheetView>
  </sheetViews>
  <sheetFormatPr defaultRowHeight="14.25" x14ac:dyDescent="0.45"/>
  <cols>
    <col min="1" max="1" width="4.53125" customWidth="1"/>
    <col min="2" max="2" width="32" bestFit="1" customWidth="1"/>
    <col min="3" max="3" width="14.265625" customWidth="1"/>
    <col min="4" max="4" width="34.796875" customWidth="1"/>
    <col min="5" max="5" width="19.46484375" customWidth="1"/>
    <col min="6" max="7" width="12.19921875" customWidth="1"/>
    <col min="8" max="8" width="59.19921875" bestFit="1" customWidth="1"/>
  </cols>
  <sheetData>
    <row r="1" spans="1:8" x14ac:dyDescent="0.45">
      <c r="A1" s="1093" t="s">
        <v>812</v>
      </c>
      <c r="B1" s="1093"/>
      <c r="C1" s="1093"/>
      <c r="D1" s="1093"/>
      <c r="E1" s="1093"/>
      <c r="F1" s="1093"/>
      <c r="G1" s="1093"/>
      <c r="H1" s="1093"/>
    </row>
    <row r="2" spans="1:8" x14ac:dyDescent="0.45">
      <c r="A2" s="1094" t="s">
        <v>813</v>
      </c>
      <c r="B2" s="1094"/>
      <c r="C2" s="1094"/>
      <c r="D2" s="1094"/>
      <c r="E2" s="1094"/>
      <c r="F2" s="1094"/>
      <c r="G2" s="1094"/>
      <c r="H2" s="1094"/>
    </row>
    <row r="3" spans="1:8" ht="72.75" customHeight="1" x14ac:dyDescent="0.45">
      <c r="A3" s="573" t="s">
        <v>644</v>
      </c>
      <c r="B3" s="573" t="s">
        <v>645</v>
      </c>
      <c r="C3" s="573" t="s">
        <v>646</v>
      </c>
      <c r="D3" s="573" t="s">
        <v>647</v>
      </c>
      <c r="E3" s="573" t="s">
        <v>648</v>
      </c>
      <c r="F3" s="573" t="s">
        <v>649</v>
      </c>
      <c r="G3" s="573" t="s">
        <v>650</v>
      </c>
      <c r="H3" s="573" t="s">
        <v>651</v>
      </c>
    </row>
    <row r="4" spans="1:8" ht="65.650000000000006" x14ac:dyDescent="0.45">
      <c r="A4" s="860">
        <v>1</v>
      </c>
      <c r="B4" s="827" t="s">
        <v>1030</v>
      </c>
      <c r="C4" s="853" t="s">
        <v>932</v>
      </c>
      <c r="D4" s="853" t="s">
        <v>1002</v>
      </c>
      <c r="E4" s="858" t="s">
        <v>1029</v>
      </c>
      <c r="F4" s="856">
        <v>0.34</v>
      </c>
      <c r="G4" s="856">
        <v>0.16</v>
      </c>
      <c r="H4" s="827" t="s">
        <v>1031</v>
      </c>
    </row>
    <row r="5" spans="1:8" ht="91.9" x14ac:dyDescent="0.45">
      <c r="A5" s="860">
        <v>2</v>
      </c>
      <c r="B5" s="827" t="s">
        <v>1003</v>
      </c>
      <c r="C5" s="572" t="s">
        <v>938</v>
      </c>
      <c r="D5" s="572" t="s">
        <v>1011</v>
      </c>
      <c r="E5" s="858" t="s">
        <v>1004</v>
      </c>
      <c r="F5" s="574">
        <v>0.11</v>
      </c>
      <c r="G5" s="574">
        <v>0.05</v>
      </c>
      <c r="H5" s="827" t="s">
        <v>652</v>
      </c>
    </row>
    <row r="6" spans="1:8" ht="65.650000000000006" x14ac:dyDescent="0.45">
      <c r="A6" s="860">
        <v>3</v>
      </c>
      <c r="B6" s="827" t="s">
        <v>1007</v>
      </c>
      <c r="C6" s="572" t="s">
        <v>948</v>
      </c>
      <c r="D6" s="572" t="s">
        <v>1010</v>
      </c>
      <c r="E6" s="858" t="s">
        <v>1012</v>
      </c>
      <c r="F6" s="574">
        <v>0.83</v>
      </c>
      <c r="G6" s="574">
        <v>0.05</v>
      </c>
      <c r="H6" s="827" t="s">
        <v>1027</v>
      </c>
    </row>
    <row r="7" spans="1:8" ht="65.650000000000006" x14ac:dyDescent="0.45">
      <c r="A7" s="860">
        <v>4</v>
      </c>
      <c r="B7" s="827" t="s">
        <v>1006</v>
      </c>
      <c r="C7" s="853" t="s">
        <v>965</v>
      </c>
      <c r="D7" s="572" t="s">
        <v>1009</v>
      </c>
      <c r="E7" s="858" t="s">
        <v>1005</v>
      </c>
      <c r="F7" s="574">
        <v>0.11</v>
      </c>
      <c r="G7" s="574">
        <v>7.0000000000000007E-2</v>
      </c>
      <c r="H7" s="827" t="s">
        <v>1028</v>
      </c>
    </row>
    <row r="8" spans="1:8" ht="111" customHeight="1" x14ac:dyDescent="0.45">
      <c r="A8" s="860">
        <v>5</v>
      </c>
      <c r="B8" s="827" t="s">
        <v>1013</v>
      </c>
      <c r="C8" s="572" t="s">
        <v>1052</v>
      </c>
      <c r="D8" s="572" t="s">
        <v>1014</v>
      </c>
      <c r="E8" s="859" t="s">
        <v>1015</v>
      </c>
      <c r="F8" s="574">
        <v>0.91</v>
      </c>
      <c r="G8" s="574">
        <v>0.13</v>
      </c>
      <c r="H8" s="857" t="s">
        <v>1034</v>
      </c>
    </row>
    <row r="9" spans="1:8" s="844" customFormat="1" ht="78.75" x14ac:dyDescent="0.45">
      <c r="A9" s="860">
        <v>6</v>
      </c>
      <c r="B9" s="827" t="s">
        <v>1016</v>
      </c>
      <c r="C9" s="853" t="s">
        <v>946</v>
      </c>
      <c r="D9" s="853" t="s">
        <v>1014</v>
      </c>
      <c r="E9" s="843" t="s">
        <v>1017</v>
      </c>
      <c r="F9" s="856">
        <v>0.15</v>
      </c>
      <c r="G9" s="856">
        <v>0.15</v>
      </c>
      <c r="H9" s="827" t="s">
        <v>1032</v>
      </c>
    </row>
    <row r="10" spans="1:8" s="844" customFormat="1" ht="66" x14ac:dyDescent="0.45">
      <c r="A10" s="860">
        <v>7</v>
      </c>
      <c r="B10" s="827" t="s">
        <v>1018</v>
      </c>
      <c r="C10" s="854" t="s">
        <v>950</v>
      </c>
      <c r="D10" s="1251" t="s">
        <v>1019</v>
      </c>
      <c r="E10" s="1252" t="s">
        <v>1064</v>
      </c>
      <c r="F10" s="856">
        <v>7.0000000000000007E-2</v>
      </c>
      <c r="G10" s="856">
        <v>0.04</v>
      </c>
      <c r="H10" s="827" t="s">
        <v>1025</v>
      </c>
    </row>
    <row r="11" spans="1:8" s="844" customFormat="1" ht="66" x14ac:dyDescent="0.45">
      <c r="A11" s="860">
        <v>8</v>
      </c>
      <c r="B11" s="827" t="s">
        <v>1020</v>
      </c>
      <c r="C11" s="854" t="s">
        <v>970</v>
      </c>
      <c r="D11" s="853" t="s">
        <v>1014</v>
      </c>
      <c r="E11" s="859" t="s">
        <v>1021</v>
      </c>
      <c r="F11" s="856">
        <v>0.17</v>
      </c>
      <c r="G11" s="856">
        <v>0.13</v>
      </c>
      <c r="H11" s="827" t="s">
        <v>1033</v>
      </c>
    </row>
    <row r="12" spans="1:8" ht="79.150000000000006" x14ac:dyDescent="0.45">
      <c r="A12" s="860">
        <v>9</v>
      </c>
      <c r="B12" s="827" t="s">
        <v>1022</v>
      </c>
      <c r="C12" s="854" t="s">
        <v>952</v>
      </c>
      <c r="D12" s="853" t="s">
        <v>1023</v>
      </c>
      <c r="E12" s="859" t="s">
        <v>1024</v>
      </c>
      <c r="F12" s="856">
        <v>0.89</v>
      </c>
      <c r="G12" s="856">
        <v>0.02</v>
      </c>
      <c r="H12" s="827" t="s">
        <v>1026</v>
      </c>
    </row>
    <row r="14" spans="1:8" ht="12.75" customHeight="1" x14ac:dyDescent="0.45">
      <c r="H14" s="575" t="s">
        <v>810</v>
      </c>
    </row>
    <row r="15" spans="1:8" ht="12.75" customHeight="1" x14ac:dyDescent="0.45">
      <c r="H15" s="575" t="s">
        <v>653</v>
      </c>
    </row>
    <row r="16" spans="1:8" ht="12.75" customHeight="1" x14ac:dyDescent="0.45">
      <c r="H16" s="575" t="s">
        <v>654</v>
      </c>
    </row>
    <row r="17" spans="1:8" x14ac:dyDescent="0.45">
      <c r="H17" s="555"/>
    </row>
    <row r="18" spans="1:8" ht="21" customHeight="1" x14ac:dyDescent="0.45">
      <c r="H18" s="555"/>
    </row>
    <row r="19" spans="1:8" x14ac:dyDescent="0.45">
      <c r="H19" s="555" t="s">
        <v>655</v>
      </c>
    </row>
    <row r="20" spans="1:8" x14ac:dyDescent="0.45">
      <c r="H20" s="555" t="s">
        <v>656</v>
      </c>
    </row>
    <row r="22" spans="1:8" ht="72" customHeight="1" x14ac:dyDescent="0.45">
      <c r="A22" s="798" t="s">
        <v>618</v>
      </c>
      <c r="B22" s="1095" t="s">
        <v>811</v>
      </c>
      <c r="C22" s="1095"/>
      <c r="D22" s="1095"/>
      <c r="E22" s="1095"/>
      <c r="F22" s="1095"/>
      <c r="G22" s="1095"/>
      <c r="H22" s="1096"/>
    </row>
  </sheetData>
  <mergeCells count="3">
    <mergeCell ref="A1:H1"/>
    <mergeCell ref="A2:H2"/>
    <mergeCell ref="B22:H22"/>
  </mergeCells>
  <hyperlinks>
    <hyperlink ref="E12" r:id="rId1" xr:uid="{00000000-0004-0000-0600-000000000000}"/>
    <hyperlink ref="E11" r:id="rId2" xr:uid="{00000000-0004-0000-0600-000001000000}"/>
    <hyperlink ref="E9" r:id="rId3" xr:uid="{00000000-0004-0000-0600-000002000000}"/>
    <hyperlink ref="E8" r:id="rId4" xr:uid="{00000000-0004-0000-0600-000003000000}"/>
    <hyperlink ref="E7" r:id="rId5" xr:uid="{00000000-0004-0000-0600-000004000000}"/>
    <hyperlink ref="E6" r:id="rId6" xr:uid="{00000000-0004-0000-0600-000005000000}"/>
    <hyperlink ref="E5" r:id="rId7" xr:uid="{00000000-0004-0000-0600-000006000000}"/>
    <hyperlink ref="E4" r:id="rId8" xr:uid="{00000000-0004-0000-0600-000007000000}"/>
    <hyperlink ref="E10" r:id="rId9" display="http://siregar.staff.telkomuniversity.ac.id/files/2019/01/7-ICST-2017.pdf" xr:uid="{C383ABEC-ADA9-4874-9058-96442B2FB50E}"/>
  </hyperlinks>
  <pageMargins left="0.7" right="0.7" top="0.75" bottom="0.75" header="0.3" footer="0.3"/>
  <pageSetup paperSize="9" scale="69" orientation="landscape" horizontalDpi="4294967293" verticalDpi="4294967293" r:id="rId1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G28"/>
  <sheetViews>
    <sheetView showGridLines="0" topLeftCell="A7" zoomScale="40" zoomScaleNormal="40" workbookViewId="0">
      <selection activeCell="G10" sqref="G10"/>
    </sheetView>
  </sheetViews>
  <sheetFormatPr defaultColWidth="9.19921875" defaultRowHeight="14.25" x14ac:dyDescent="0.45"/>
  <cols>
    <col min="1" max="1" width="4.53125" style="799" customWidth="1"/>
    <col min="2" max="2" width="32" style="799" bestFit="1" customWidth="1"/>
    <col min="3" max="3" width="35.53125" style="799" customWidth="1"/>
    <col min="4" max="4" width="34.796875" style="799" customWidth="1"/>
    <col min="5" max="5" width="38" style="799" customWidth="1"/>
    <col min="6" max="6" width="33" style="799" customWidth="1"/>
    <col min="7" max="7" width="59.19921875" style="799" bestFit="1" customWidth="1"/>
    <col min="8" max="16384" width="9.19921875" style="799"/>
  </cols>
  <sheetData>
    <row r="1" spans="1:7" x14ac:dyDescent="0.45">
      <c r="A1" s="1097"/>
      <c r="B1" s="1097"/>
      <c r="C1" s="1097"/>
      <c r="D1" s="1097"/>
      <c r="E1" s="1097"/>
      <c r="F1" s="1097"/>
      <c r="G1" s="1097"/>
    </row>
    <row r="2" spans="1:7" ht="33.75" customHeight="1" x14ac:dyDescent="0.45">
      <c r="A2" s="1098" t="s">
        <v>850</v>
      </c>
      <c r="B2" s="1099"/>
      <c r="C2" s="1099"/>
      <c r="D2" s="1099"/>
      <c r="E2" s="1099"/>
      <c r="F2" s="1099"/>
      <c r="G2" s="1099"/>
    </row>
    <row r="3" spans="1:7" ht="72.75" customHeight="1" x14ac:dyDescent="0.45">
      <c r="A3" s="809" t="s">
        <v>644</v>
      </c>
      <c r="B3" s="809" t="s">
        <v>645</v>
      </c>
      <c r="C3" s="809" t="s">
        <v>849</v>
      </c>
      <c r="D3" s="809" t="s">
        <v>848</v>
      </c>
      <c r="E3" s="809" t="s">
        <v>847</v>
      </c>
      <c r="F3" s="809" t="s">
        <v>846</v>
      </c>
      <c r="G3" s="809" t="s">
        <v>845</v>
      </c>
    </row>
    <row r="4" spans="1:7" ht="85.9" customHeight="1" x14ac:dyDescent="0.45">
      <c r="A4" s="803">
        <v>1</v>
      </c>
      <c r="B4" s="827" t="s">
        <v>1030</v>
      </c>
      <c r="C4" s="805" t="s">
        <v>1051</v>
      </c>
      <c r="D4" s="802" t="s">
        <v>1056</v>
      </c>
      <c r="E4" s="804" t="s">
        <v>1065</v>
      </c>
      <c r="F4" s="858" t="s">
        <v>1029</v>
      </c>
      <c r="G4" s="802" t="s">
        <v>1074</v>
      </c>
    </row>
    <row r="5" spans="1:7" ht="106.15" customHeight="1" x14ac:dyDescent="0.45">
      <c r="A5" s="803">
        <v>2</v>
      </c>
      <c r="B5" s="827" t="s">
        <v>1003</v>
      </c>
      <c r="C5" s="805" t="s">
        <v>1051</v>
      </c>
      <c r="D5" s="802" t="s">
        <v>1057</v>
      </c>
      <c r="E5" s="804" t="s">
        <v>1066</v>
      </c>
      <c r="F5" s="858" t="s">
        <v>1004</v>
      </c>
      <c r="G5" s="802" t="s">
        <v>1074</v>
      </c>
    </row>
    <row r="6" spans="1:7" ht="118.5" customHeight="1" x14ac:dyDescent="0.45">
      <c r="A6" s="803">
        <v>3</v>
      </c>
      <c r="B6" s="827" t="s">
        <v>1007</v>
      </c>
      <c r="C6" s="805" t="s">
        <v>803</v>
      </c>
      <c r="D6" s="802" t="s">
        <v>1058</v>
      </c>
      <c r="E6" s="804" t="s">
        <v>1067</v>
      </c>
      <c r="F6" s="858" t="s">
        <v>1012</v>
      </c>
      <c r="G6" s="802" t="s">
        <v>1074</v>
      </c>
    </row>
    <row r="7" spans="1:7" ht="87" customHeight="1" x14ac:dyDescent="0.45">
      <c r="A7" s="803">
        <v>4</v>
      </c>
      <c r="B7" s="827" t="s">
        <v>1006</v>
      </c>
      <c r="C7" s="805" t="s">
        <v>803</v>
      </c>
      <c r="D7" s="802" t="s">
        <v>1059</v>
      </c>
      <c r="E7" s="804" t="s">
        <v>1068</v>
      </c>
      <c r="F7" s="858" t="s">
        <v>1005</v>
      </c>
      <c r="G7" s="802" t="s">
        <v>1074</v>
      </c>
    </row>
    <row r="8" spans="1:7" ht="120.4" customHeight="1" x14ac:dyDescent="0.45">
      <c r="A8" s="803">
        <v>5</v>
      </c>
      <c r="B8" s="827" t="s">
        <v>1013</v>
      </c>
      <c r="C8" s="805" t="s">
        <v>1053</v>
      </c>
      <c r="D8" s="802" t="s">
        <v>1060</v>
      </c>
      <c r="E8" s="804" t="s">
        <v>1069</v>
      </c>
      <c r="F8" s="859" t="s">
        <v>1015</v>
      </c>
      <c r="G8" s="802" t="s">
        <v>1074</v>
      </c>
    </row>
    <row r="9" spans="1:7" ht="125.25" customHeight="1" x14ac:dyDescent="0.45">
      <c r="A9" s="803">
        <v>6</v>
      </c>
      <c r="B9" s="827" t="s">
        <v>1016</v>
      </c>
      <c r="C9" s="805" t="s">
        <v>1053</v>
      </c>
      <c r="D9" s="802" t="s">
        <v>1061</v>
      </c>
      <c r="E9" s="804" t="s">
        <v>1070</v>
      </c>
      <c r="F9" s="843" t="s">
        <v>1017</v>
      </c>
      <c r="G9" s="802" t="s">
        <v>1074</v>
      </c>
    </row>
    <row r="10" spans="1:7" ht="95.65" customHeight="1" x14ac:dyDescent="0.45">
      <c r="A10" s="803">
        <v>7</v>
      </c>
      <c r="B10" s="827" t="s">
        <v>1018</v>
      </c>
      <c r="C10" s="805" t="s">
        <v>1053</v>
      </c>
      <c r="D10" s="802" t="s">
        <v>1062</v>
      </c>
      <c r="E10" s="804" t="s">
        <v>1071</v>
      </c>
      <c r="F10" s="843" t="s">
        <v>1064</v>
      </c>
      <c r="G10" s="802" t="s">
        <v>1074</v>
      </c>
    </row>
    <row r="11" spans="1:7" ht="115.15" customHeight="1" x14ac:dyDescent="0.45">
      <c r="A11" s="803">
        <v>8</v>
      </c>
      <c r="B11" s="827" t="s">
        <v>1020</v>
      </c>
      <c r="C11" s="805" t="s">
        <v>1053</v>
      </c>
      <c r="D11" s="802" t="s">
        <v>1063</v>
      </c>
      <c r="E11" s="804" t="s">
        <v>1072</v>
      </c>
      <c r="F11" s="859" t="s">
        <v>1021</v>
      </c>
      <c r="G11" s="802" t="s">
        <v>1074</v>
      </c>
    </row>
    <row r="12" spans="1:7" ht="97.9" customHeight="1" x14ac:dyDescent="0.45">
      <c r="A12" s="803">
        <v>9</v>
      </c>
      <c r="B12" s="827" t="s">
        <v>1022</v>
      </c>
      <c r="C12" s="802" t="s">
        <v>805</v>
      </c>
      <c r="D12" s="802" t="s">
        <v>1054</v>
      </c>
      <c r="E12" s="804" t="s">
        <v>1073</v>
      </c>
      <c r="F12" s="859" t="s">
        <v>1024</v>
      </c>
      <c r="G12" s="802" t="s">
        <v>1074</v>
      </c>
    </row>
    <row r="13" spans="1:7" ht="84.75" hidden="1" customHeight="1" x14ac:dyDescent="0.45">
      <c r="A13" s="803">
        <v>10</v>
      </c>
      <c r="B13" s="802" t="s">
        <v>844</v>
      </c>
      <c r="C13" s="802" t="s">
        <v>804</v>
      </c>
      <c r="D13" s="802" t="s">
        <v>843</v>
      </c>
      <c r="E13" s="1100" t="s">
        <v>842</v>
      </c>
      <c r="F13" s="1101"/>
      <c r="G13" s="802" t="s">
        <v>816</v>
      </c>
    </row>
    <row r="14" spans="1:7" ht="77.25" hidden="1" customHeight="1" x14ac:dyDescent="0.45">
      <c r="A14" s="803">
        <v>11</v>
      </c>
      <c r="B14" s="805" t="s">
        <v>841</v>
      </c>
      <c r="C14" s="802" t="s">
        <v>804</v>
      </c>
      <c r="D14" s="802" t="s">
        <v>840</v>
      </c>
      <c r="E14" s="804" t="s">
        <v>839</v>
      </c>
      <c r="F14" s="804" t="s">
        <v>838</v>
      </c>
      <c r="G14" s="802" t="s">
        <v>816</v>
      </c>
    </row>
    <row r="15" spans="1:7" ht="105" hidden="1" customHeight="1" x14ac:dyDescent="0.45">
      <c r="A15" s="803">
        <v>12</v>
      </c>
      <c r="B15" s="808" t="s">
        <v>837</v>
      </c>
      <c r="C15" s="802" t="s">
        <v>805</v>
      </c>
      <c r="D15" s="802" t="s">
        <v>836</v>
      </c>
      <c r="E15" s="1100" t="s">
        <v>835</v>
      </c>
      <c r="F15" s="1101"/>
      <c r="G15" s="802" t="s">
        <v>816</v>
      </c>
    </row>
    <row r="16" spans="1:7" ht="57" hidden="1" x14ac:dyDescent="0.45">
      <c r="A16" s="803">
        <v>13</v>
      </c>
      <c r="B16" s="802" t="s">
        <v>834</v>
      </c>
      <c r="C16" s="802" t="s">
        <v>805</v>
      </c>
      <c r="D16" s="802" t="s">
        <v>833</v>
      </c>
      <c r="E16" s="804" t="s">
        <v>832</v>
      </c>
      <c r="F16" s="804" t="s">
        <v>831</v>
      </c>
      <c r="G16" s="802" t="s">
        <v>816</v>
      </c>
    </row>
    <row r="17" spans="1:7" ht="199.5" hidden="1" x14ac:dyDescent="0.45">
      <c r="A17" s="808">
        <v>14</v>
      </c>
      <c r="B17" s="805" t="s">
        <v>830</v>
      </c>
      <c r="C17" s="806" t="s">
        <v>682</v>
      </c>
      <c r="D17" s="808" t="s">
        <v>829</v>
      </c>
      <c r="E17" s="807" t="s">
        <v>828</v>
      </c>
      <c r="F17" s="804" t="s">
        <v>827</v>
      </c>
      <c r="G17" s="802" t="s">
        <v>816</v>
      </c>
    </row>
    <row r="18" spans="1:7" ht="75" hidden="1" customHeight="1" x14ac:dyDescent="0.45">
      <c r="A18" s="803">
        <v>15</v>
      </c>
      <c r="B18" s="802" t="s">
        <v>826</v>
      </c>
      <c r="C18" s="806" t="s">
        <v>708</v>
      </c>
      <c r="D18" s="802" t="s">
        <v>825</v>
      </c>
      <c r="E18" s="804" t="s">
        <v>824</v>
      </c>
      <c r="F18" s="804" t="s">
        <v>823</v>
      </c>
      <c r="G18" s="802" t="s">
        <v>816</v>
      </c>
    </row>
    <row r="19" spans="1:7" ht="77.25" hidden="1" customHeight="1" x14ac:dyDescent="0.45">
      <c r="A19" s="803">
        <v>16</v>
      </c>
      <c r="B19" s="805" t="s">
        <v>822</v>
      </c>
      <c r="C19" s="805" t="s">
        <v>821</v>
      </c>
      <c r="D19" s="802" t="s">
        <v>820</v>
      </c>
      <c r="E19" s="804" t="s">
        <v>819</v>
      </c>
      <c r="F19" s="804" t="s">
        <v>818</v>
      </c>
      <c r="G19" s="802" t="s">
        <v>816</v>
      </c>
    </row>
    <row r="20" spans="1:7" ht="31.5" hidden="1" customHeight="1" x14ac:dyDescent="0.45">
      <c r="A20" s="803">
        <v>17</v>
      </c>
      <c r="B20" s="1102"/>
      <c r="C20" s="1102"/>
      <c r="D20" s="1103"/>
      <c r="E20" s="1104" t="s">
        <v>817</v>
      </c>
      <c r="F20" s="1105"/>
      <c r="G20" s="802" t="s">
        <v>816</v>
      </c>
    </row>
    <row r="22" spans="1:7" ht="12.75" customHeight="1" x14ac:dyDescent="0.45">
      <c r="G22" s="801" t="s">
        <v>1055</v>
      </c>
    </row>
    <row r="23" spans="1:7" ht="12.75" customHeight="1" x14ac:dyDescent="0.45">
      <c r="G23" s="801" t="s">
        <v>653</v>
      </c>
    </row>
    <row r="24" spans="1:7" ht="12.75" customHeight="1" x14ac:dyDescent="0.45">
      <c r="G24" s="801" t="s">
        <v>654</v>
      </c>
    </row>
    <row r="25" spans="1:7" x14ac:dyDescent="0.45">
      <c r="G25" s="800"/>
    </row>
    <row r="26" spans="1:7" ht="21" customHeight="1" x14ac:dyDescent="0.45">
      <c r="G26" s="800"/>
    </row>
    <row r="27" spans="1:7" x14ac:dyDescent="0.45">
      <c r="G27" s="800" t="s">
        <v>815</v>
      </c>
    </row>
    <row r="28" spans="1:7" x14ac:dyDescent="0.45">
      <c r="G28" s="800" t="s">
        <v>814</v>
      </c>
    </row>
  </sheetData>
  <autoFilter ref="A3:G24" xr:uid="{00000000-0009-0000-0000-000007000000}"/>
  <mergeCells count="6">
    <mergeCell ref="A1:G1"/>
    <mergeCell ref="A2:G2"/>
    <mergeCell ref="E13:F13"/>
    <mergeCell ref="E15:F15"/>
    <mergeCell ref="B20:D20"/>
    <mergeCell ref="E20:F20"/>
  </mergeCells>
  <hyperlinks>
    <hyperlink ref="E19" r:id="rId1" xr:uid="{00000000-0004-0000-0700-000000000000}"/>
    <hyperlink ref="E13" r:id="rId2" xr:uid="{00000000-0004-0000-0700-000002000000}"/>
    <hyperlink ref="F14" r:id="rId3" xr:uid="{00000000-0004-0000-0700-000003000000}"/>
    <hyperlink ref="E15" r:id="rId4" xr:uid="{00000000-0004-0000-0700-000004000000}"/>
    <hyperlink ref="F16" r:id="rId5" xr:uid="{00000000-0004-0000-0700-000005000000}"/>
    <hyperlink ref="F17" r:id="rId6" xr:uid="{00000000-0004-0000-0700-000006000000}"/>
    <hyperlink ref="F19" r:id="rId7" xr:uid="{00000000-0004-0000-0700-000007000000}"/>
    <hyperlink ref="F18" r:id="rId8" xr:uid="{00000000-0004-0000-0700-000008000000}"/>
    <hyperlink ref="E18" r:id="rId9" xr:uid="{00000000-0004-0000-0700-000009000000}"/>
    <hyperlink ref="E14" r:id="rId10" xr:uid="{00000000-0004-0000-0700-000012000000}"/>
    <hyperlink ref="E16" r:id="rId11" xr:uid="{00000000-0004-0000-0700-000013000000}"/>
    <hyperlink ref="F12" r:id="rId12" xr:uid="{6CB23F91-EBFE-4074-90EB-249E8C0B305B}"/>
    <hyperlink ref="F11" r:id="rId13" xr:uid="{B39B323C-6378-478B-8605-DDD29F9DA2AD}"/>
    <hyperlink ref="F9" r:id="rId14" xr:uid="{872B75B9-0EB8-45D7-A9EC-221A299A936E}"/>
    <hyperlink ref="F8" r:id="rId15" xr:uid="{AC5F2F42-E37F-4417-A70C-BBF7F0AA1460}"/>
    <hyperlink ref="F7" r:id="rId16" xr:uid="{CECCD1BC-782E-42AD-B4D8-A11FEC0D0D46}"/>
    <hyperlink ref="F6" r:id="rId17" xr:uid="{7A52D407-924B-4230-A849-A61AB0F731CC}"/>
    <hyperlink ref="F5" r:id="rId18" xr:uid="{7AD65684-F918-42CE-9461-3251293D39C6}"/>
    <hyperlink ref="F4" r:id="rId19" xr:uid="{4097A864-5B1F-447B-BA6F-8395235D7FC6}"/>
    <hyperlink ref="E7" r:id="rId20" xr:uid="{1F7EF57E-3F45-45A0-941B-4D9C48CD62E3}"/>
    <hyperlink ref="E9" r:id="rId21" xr:uid="{603830D9-2A93-4A22-898F-422CBAA230CF}"/>
    <hyperlink ref="E10" r:id="rId22" xr:uid="{BB26DB97-5423-4955-BC8C-8000FB14F200}"/>
    <hyperlink ref="E11" r:id="rId23" xr:uid="{62CDAAA6-483E-46BC-8CEF-438AF2EDA0C7}"/>
    <hyperlink ref="F10" r:id="rId24" display="http://siregar.staff.telkomuniversity.ac.id/files/2019/01/7-ICST-2017.pdf" xr:uid="{BBC423B5-4B8B-4C76-BB02-9ABD17C7128D}"/>
  </hyperlinks>
  <pageMargins left="0.70866141732283472" right="0.70866141732283472" top="0.74803149606299213" bottom="0.74803149606299213" header="0.31496062992125984" footer="0.31496062992125984"/>
  <pageSetup paperSize="9" scale="35" orientation="portrait" horizontalDpi="4294967293" verticalDpi="4294967293" r:id="rId2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dimension ref="A2:R92"/>
  <sheetViews>
    <sheetView showGridLines="0" topLeftCell="A20" zoomScale="70" zoomScaleNormal="70" workbookViewId="0">
      <selection activeCell="J52" sqref="J52"/>
    </sheetView>
  </sheetViews>
  <sheetFormatPr defaultColWidth="9.19921875" defaultRowHeight="14.25" x14ac:dyDescent="0.45"/>
  <cols>
    <col min="1" max="1" width="3.46484375" style="140" customWidth="1"/>
    <col min="2" max="2" width="36.19921875" style="140" customWidth="1"/>
    <col min="3" max="3" width="5.53125" style="140" bestFit="1" customWidth="1"/>
    <col min="4" max="4" width="12.46484375" style="140" customWidth="1"/>
    <col min="5" max="10" width="10.796875" style="140" customWidth="1"/>
    <col min="11" max="11" width="12.46484375" style="140" customWidth="1"/>
    <col min="12" max="13" width="10.796875" style="140" customWidth="1"/>
    <col min="14" max="14" width="11" style="140" customWidth="1"/>
    <col min="15" max="16384" width="9.19921875" style="140"/>
  </cols>
  <sheetData>
    <row r="2" spans="1:13" s="137" customFormat="1" ht="12.75" customHeight="1" x14ac:dyDescent="0.45">
      <c r="A2" s="1111" t="s">
        <v>622</v>
      </c>
      <c r="B2" s="1111"/>
      <c r="C2" s="1111"/>
      <c r="D2" s="1111"/>
      <c r="E2" s="1111"/>
      <c r="F2" s="1111"/>
      <c r="G2" s="1111"/>
      <c r="H2" s="1111"/>
      <c r="I2" s="1111"/>
      <c r="J2" s="1111"/>
      <c r="K2" s="1111"/>
      <c r="L2" s="1111"/>
      <c r="M2" s="1111"/>
    </row>
    <row r="3" spans="1:13" s="138" customFormat="1" x14ac:dyDescent="0.45">
      <c r="A3" s="1111" t="s">
        <v>186</v>
      </c>
      <c r="B3" s="1111"/>
      <c r="C3" s="1111"/>
      <c r="D3" s="1111"/>
      <c r="E3" s="1111"/>
      <c r="F3" s="1111"/>
      <c r="G3" s="1111"/>
      <c r="H3" s="1111"/>
      <c r="I3" s="1111"/>
      <c r="J3" s="1111"/>
      <c r="K3" s="1111"/>
      <c r="L3" s="1111"/>
      <c r="M3" s="1111"/>
    </row>
    <row r="4" spans="1:13" s="138" customFormat="1" x14ac:dyDescent="0.45">
      <c r="A4" s="1111" t="s">
        <v>187</v>
      </c>
      <c r="B4" s="1111"/>
      <c r="C4" s="1111"/>
      <c r="D4" s="1111"/>
      <c r="E4" s="1111"/>
      <c r="F4" s="1111"/>
      <c r="G4" s="1111"/>
      <c r="H4" s="1111"/>
      <c r="I4" s="1111"/>
      <c r="J4" s="1111"/>
      <c r="K4" s="1111"/>
      <c r="L4" s="1111"/>
      <c r="M4" s="1111"/>
    </row>
    <row r="5" spans="1:13" s="138" customFormat="1" ht="6.7" customHeight="1" x14ac:dyDescent="0.45">
      <c r="A5" s="139"/>
      <c r="B5" s="139"/>
      <c r="C5" s="139"/>
      <c r="D5" s="139"/>
      <c r="E5" s="139"/>
      <c r="F5" s="139"/>
      <c r="G5" s="139"/>
      <c r="H5" s="139"/>
      <c r="I5" s="139"/>
      <c r="J5" s="139"/>
      <c r="K5" s="516"/>
      <c r="L5" s="139"/>
      <c r="M5" s="139"/>
    </row>
    <row r="6" spans="1:13" ht="7.45" customHeight="1" x14ac:dyDescent="0.45">
      <c r="A6" s="139"/>
      <c r="B6" s="139"/>
      <c r="C6" s="139"/>
      <c r="D6" s="139"/>
      <c r="E6" s="139"/>
      <c r="F6" s="139"/>
      <c r="G6" s="139"/>
      <c r="H6" s="139"/>
      <c r="I6" s="139"/>
      <c r="J6" s="139"/>
      <c r="K6" s="516"/>
      <c r="L6" s="139"/>
      <c r="M6" s="139"/>
    </row>
    <row r="7" spans="1:13" x14ac:dyDescent="0.45">
      <c r="A7" s="141" t="s">
        <v>188</v>
      </c>
      <c r="B7" s="1152" t="s">
        <v>189</v>
      </c>
      <c r="C7" s="1152"/>
      <c r="D7" s="1152"/>
      <c r="E7" s="1152"/>
      <c r="F7" s="1152"/>
      <c r="G7" s="1152"/>
      <c r="H7" s="1152"/>
      <c r="I7" s="1152"/>
      <c r="J7" s="1152"/>
      <c r="K7" s="1152"/>
      <c r="L7" s="1152"/>
      <c r="M7" s="1153"/>
    </row>
    <row r="8" spans="1:13" ht="15" customHeight="1" x14ac:dyDescent="0.45">
      <c r="A8" s="142">
        <v>1</v>
      </c>
      <c r="B8" s="1154" t="s">
        <v>190</v>
      </c>
      <c r="C8" s="1155"/>
      <c r="D8" s="143" t="str">
        <f>'LAMPIRAN I DONE'!F15</f>
        <v>Simon Siregar</v>
      </c>
      <c r="E8" s="144"/>
      <c r="F8" s="144"/>
      <c r="G8" s="144"/>
      <c r="H8" s="144"/>
      <c r="I8" s="144"/>
      <c r="J8" s="144"/>
      <c r="K8" s="144"/>
      <c r="L8" s="144"/>
      <c r="M8" s="145"/>
    </row>
    <row r="9" spans="1:13" ht="15" customHeight="1" x14ac:dyDescent="0.45">
      <c r="A9" s="142">
        <v>2</v>
      </c>
      <c r="B9" s="1154" t="s">
        <v>191</v>
      </c>
      <c r="C9" s="1155"/>
      <c r="D9" s="143" t="str">
        <f>'LAMPIRAN I DONE'!F16</f>
        <v>410038203 / 14820015</v>
      </c>
      <c r="E9" s="144"/>
      <c r="F9" s="144"/>
      <c r="G9" s="144"/>
      <c r="H9" s="144"/>
      <c r="I9" s="144"/>
      <c r="J9" s="144"/>
      <c r="K9" s="144"/>
      <c r="L9" s="144"/>
      <c r="M9" s="145"/>
    </row>
    <row r="10" spans="1:13" ht="15" customHeight="1" x14ac:dyDescent="0.45">
      <c r="A10" s="142">
        <v>3</v>
      </c>
      <c r="B10" s="1154" t="s">
        <v>192</v>
      </c>
      <c r="C10" s="1155"/>
      <c r="D10" s="143" t="s">
        <v>66</v>
      </c>
      <c r="E10" s="144"/>
      <c r="F10" s="144"/>
      <c r="G10" s="144"/>
      <c r="H10" s="144"/>
      <c r="I10" s="144"/>
      <c r="J10" s="144"/>
      <c r="K10" s="144"/>
      <c r="L10" s="144"/>
      <c r="M10" s="145"/>
    </row>
    <row r="11" spans="1:13" x14ac:dyDescent="0.45">
      <c r="A11" s="142">
        <v>4</v>
      </c>
      <c r="B11" s="1154" t="s">
        <v>8</v>
      </c>
      <c r="C11" s="1155"/>
      <c r="D11" s="143" t="str">
        <f>'LAMPIRAN I DONE'!F18</f>
        <v>Pusuk, 10 Maret 1982</v>
      </c>
      <c r="E11" s="144"/>
      <c r="F11" s="144"/>
      <c r="G11" s="144"/>
      <c r="H11" s="144"/>
      <c r="I11" s="144"/>
      <c r="J11" s="144"/>
      <c r="K11" s="144"/>
      <c r="L11" s="144"/>
      <c r="M11" s="145"/>
    </row>
    <row r="12" spans="1:13" x14ac:dyDescent="0.45">
      <c r="A12" s="142">
        <v>5</v>
      </c>
      <c r="B12" s="1154" t="s">
        <v>4</v>
      </c>
      <c r="C12" s="1155"/>
      <c r="D12" s="143" t="str">
        <f>'LAMPIRAN I DONE'!F19</f>
        <v>Laki-laki</v>
      </c>
      <c r="E12" s="144"/>
      <c r="F12" s="144"/>
      <c r="G12" s="144"/>
      <c r="H12" s="144"/>
      <c r="I12" s="144"/>
      <c r="J12" s="144"/>
      <c r="K12" s="144"/>
      <c r="L12" s="144"/>
      <c r="M12" s="145"/>
    </row>
    <row r="13" spans="1:13" x14ac:dyDescent="0.45">
      <c r="A13" s="142">
        <v>6</v>
      </c>
      <c r="B13" s="1154" t="s">
        <v>5</v>
      </c>
      <c r="C13" s="1155"/>
      <c r="D13" s="143" t="str">
        <f>'LAMPIRAN I DONE'!F20</f>
        <v>Magister (S2)</v>
      </c>
      <c r="E13" s="144"/>
      <c r="F13" s="144"/>
      <c r="G13" s="144"/>
      <c r="H13" s="144"/>
      <c r="I13" s="144"/>
      <c r="J13" s="144"/>
      <c r="K13" s="144"/>
      <c r="L13" s="144"/>
      <c r="M13" s="145"/>
    </row>
    <row r="14" spans="1:13" x14ac:dyDescent="0.45">
      <c r="A14" s="146">
        <v>7</v>
      </c>
      <c r="B14" s="1129" t="s">
        <v>193</v>
      </c>
      <c r="C14" s="1130"/>
      <c r="D14" s="499" t="str">
        <f>'LAMPIRAN II DONE'!C19</f>
        <v>Penata / IIIC</v>
      </c>
      <c r="E14" s="500"/>
      <c r="F14" s="500"/>
      <c r="G14" s="500"/>
      <c r="H14" s="500"/>
      <c r="I14" s="500"/>
      <c r="J14" s="500"/>
      <c r="K14" s="500"/>
      <c r="L14" s="500"/>
      <c r="M14" s="501"/>
    </row>
    <row r="15" spans="1:13" ht="18" customHeight="1" x14ac:dyDescent="0.45">
      <c r="A15" s="146">
        <v>8</v>
      </c>
      <c r="B15" s="1129" t="s">
        <v>194</v>
      </c>
      <c r="C15" s="1130"/>
      <c r="D15" s="1164" t="str">
        <f>'LAMPIRAN I DONE'!F21</f>
        <v>Lektor</v>
      </c>
      <c r="E15" s="1165"/>
      <c r="F15" s="1165"/>
      <c r="G15" s="1125">
        <f>'LAMPIRAN I DONE'!I21</f>
        <v>42339</v>
      </c>
      <c r="H15" s="1125"/>
      <c r="I15" s="1125"/>
      <c r="J15" s="1125"/>
      <c r="K15" s="1125"/>
      <c r="L15" s="1125"/>
      <c r="M15" s="1126"/>
    </row>
    <row r="16" spans="1:13" x14ac:dyDescent="0.45">
      <c r="A16" s="146">
        <v>9</v>
      </c>
      <c r="B16" s="1129" t="s">
        <v>6</v>
      </c>
      <c r="C16" s="1130"/>
      <c r="D16" s="1164" t="str">
        <f>'LAMPIRAN I DONE'!F22</f>
        <v>D3 Teknik Komputer Fakultas Ilmu Terapan</v>
      </c>
      <c r="E16" s="1165"/>
      <c r="F16" s="1165"/>
      <c r="G16" s="1165"/>
      <c r="H16" s="1165"/>
      <c r="I16" s="1165"/>
      <c r="J16" s="1165"/>
      <c r="K16" s="1165"/>
      <c r="L16" s="1165"/>
      <c r="M16" s="1166"/>
    </row>
    <row r="17" spans="1:18" x14ac:dyDescent="0.45">
      <c r="A17" s="1140">
        <v>10</v>
      </c>
      <c r="B17" s="1142" t="s">
        <v>106</v>
      </c>
      <c r="C17" s="147" t="s">
        <v>107</v>
      </c>
      <c r="D17" s="1173" t="s">
        <v>66</v>
      </c>
      <c r="E17" s="1174"/>
      <c r="F17" s="1174"/>
      <c r="G17" s="1174"/>
      <c r="H17" s="1174"/>
      <c r="I17" s="1174"/>
      <c r="J17" s="1174"/>
      <c r="K17" s="1174"/>
      <c r="L17" s="1174"/>
      <c r="M17" s="1175"/>
    </row>
    <row r="18" spans="1:18" x14ac:dyDescent="0.45">
      <c r="A18" s="1141"/>
      <c r="B18" s="1143"/>
      <c r="C18" s="147" t="s">
        <v>9</v>
      </c>
      <c r="D18" s="143" t="str">
        <f>'LAMPIRAN I DONE'!F24</f>
        <v>3 tahun 1 bulan</v>
      </c>
      <c r="E18" s="144"/>
      <c r="F18" s="144"/>
      <c r="G18" s="144"/>
      <c r="H18" s="144"/>
      <c r="I18" s="144"/>
      <c r="J18" s="144"/>
      <c r="K18" s="144"/>
      <c r="L18" s="144"/>
      <c r="M18" s="145"/>
    </row>
    <row r="19" spans="1:18" x14ac:dyDescent="0.45">
      <c r="A19" s="146">
        <v>11</v>
      </c>
      <c r="B19" s="1144" t="s">
        <v>7</v>
      </c>
      <c r="C19" s="1144"/>
      <c r="D19" s="143" t="str">
        <f>'LAMPIRAN I DONE'!F25</f>
        <v>D3 Teknik Komputer Fakultas Ilmu Terapan di Universitas Telkom pada Kopertis Wilayah IV Jawa Barat dan Banten</v>
      </c>
      <c r="E19" s="148"/>
      <c r="F19" s="148"/>
      <c r="G19" s="148"/>
      <c r="H19" s="148"/>
      <c r="I19" s="148"/>
      <c r="J19" s="148"/>
      <c r="K19" s="148"/>
      <c r="L19" s="148"/>
      <c r="M19" s="149"/>
    </row>
    <row r="20" spans="1:18" ht="14.65" thickBot="1" x14ac:dyDescent="0.5">
      <c r="A20" s="139"/>
      <c r="B20" s="139"/>
      <c r="C20" s="139"/>
      <c r="D20" s="139"/>
      <c r="E20" s="139"/>
      <c r="F20" s="139"/>
      <c r="G20" s="139"/>
      <c r="H20" s="139"/>
      <c r="I20" s="139"/>
      <c r="J20" s="139"/>
      <c r="K20" s="516"/>
      <c r="L20" s="139"/>
      <c r="M20" s="139"/>
    </row>
    <row r="21" spans="1:18" ht="14.65" thickBot="1" x14ac:dyDescent="0.5">
      <c r="A21" s="141" t="s">
        <v>195</v>
      </c>
      <c r="B21" s="1145" t="s">
        <v>196</v>
      </c>
      <c r="C21" s="1146"/>
      <c r="D21" s="1146"/>
      <c r="E21" s="1146"/>
      <c r="F21" s="1146"/>
      <c r="G21" s="1146"/>
      <c r="H21" s="1146"/>
      <c r="I21" s="1146"/>
      <c r="J21" s="1146"/>
      <c r="K21" s="1146"/>
      <c r="L21" s="1146"/>
      <c r="M21" s="1146"/>
      <c r="N21" s="1147"/>
    </row>
    <row r="22" spans="1:18" ht="14.65" thickBot="1" x14ac:dyDescent="0.5">
      <c r="A22" s="1133" t="s">
        <v>197</v>
      </c>
      <c r="B22" s="1134" t="s">
        <v>198</v>
      </c>
      <c r="C22" s="1135"/>
      <c r="D22" s="1145" t="s">
        <v>199</v>
      </c>
      <c r="E22" s="1146"/>
      <c r="F22" s="1146"/>
      <c r="G22" s="1146"/>
      <c r="H22" s="1146"/>
      <c r="I22" s="1146"/>
      <c r="J22" s="1146"/>
      <c r="K22" s="1146"/>
      <c r="L22" s="1146"/>
      <c r="M22" s="1146"/>
      <c r="N22" s="1147"/>
      <c r="R22" s="522"/>
    </row>
    <row r="23" spans="1:18" ht="40.5" customHeight="1" thickBot="1" x14ac:dyDescent="0.5">
      <c r="A23" s="1133"/>
      <c r="B23" s="1136"/>
      <c r="C23" s="1137"/>
      <c r="D23" s="1148" t="s">
        <v>603</v>
      </c>
      <c r="E23" s="1149"/>
      <c r="F23" s="1149"/>
      <c r="G23" s="1150"/>
      <c r="H23" s="1148" t="s">
        <v>200</v>
      </c>
      <c r="I23" s="1150"/>
      <c r="J23" s="1148" t="s">
        <v>201</v>
      </c>
      <c r="K23" s="1149"/>
      <c r="L23" s="1150"/>
      <c r="M23" s="1167" t="s">
        <v>604</v>
      </c>
      <c r="N23" s="1168"/>
    </row>
    <row r="24" spans="1:18" ht="43.15" thickBot="1" x14ac:dyDescent="0.5">
      <c r="A24" s="1133"/>
      <c r="B24" s="1138"/>
      <c r="C24" s="1139"/>
      <c r="D24" s="519" t="s">
        <v>203</v>
      </c>
      <c r="E24" s="520" t="s">
        <v>581</v>
      </c>
      <c r="F24" s="519" t="s">
        <v>206</v>
      </c>
      <c r="G24" s="521" t="s">
        <v>207</v>
      </c>
      <c r="H24" s="519" t="s">
        <v>608</v>
      </c>
      <c r="I24" s="521" t="s">
        <v>202</v>
      </c>
      <c r="J24" s="1148" t="s">
        <v>609</v>
      </c>
      <c r="K24" s="1151"/>
      <c r="L24" s="521" t="s">
        <v>204</v>
      </c>
      <c r="M24" s="533" t="s">
        <v>205</v>
      </c>
      <c r="N24" s="534" t="s">
        <v>204</v>
      </c>
    </row>
    <row r="25" spans="1:18" x14ac:dyDescent="0.45">
      <c r="A25" s="192" t="s">
        <v>208</v>
      </c>
      <c r="B25" s="1156" t="s">
        <v>209</v>
      </c>
      <c r="C25" s="1157"/>
      <c r="D25" s="238" t="s">
        <v>210</v>
      </c>
      <c r="E25" s="238" t="s">
        <v>211</v>
      </c>
      <c r="F25" s="238" t="s">
        <v>212</v>
      </c>
      <c r="G25" s="239" t="s">
        <v>213</v>
      </c>
      <c r="H25" s="238" t="s">
        <v>607</v>
      </c>
      <c r="I25" s="239" t="s">
        <v>214</v>
      </c>
      <c r="J25" s="240" t="s">
        <v>214</v>
      </c>
      <c r="K25" s="239" t="s">
        <v>215</v>
      </c>
      <c r="L25" s="238" t="s">
        <v>216</v>
      </c>
      <c r="M25" s="239" t="s">
        <v>217</v>
      </c>
      <c r="N25" s="239" t="s">
        <v>218</v>
      </c>
    </row>
    <row r="26" spans="1:18" s="151" customFormat="1" x14ac:dyDescent="0.45">
      <c r="A26" s="229"/>
      <c r="B26" s="1158"/>
      <c r="C26" s="1159"/>
      <c r="D26" s="224"/>
      <c r="E26" s="502"/>
      <c r="F26" s="150"/>
      <c r="G26" s="214"/>
      <c r="H26" s="203"/>
      <c r="I26" s="204"/>
      <c r="J26" s="150"/>
      <c r="K26" s="524"/>
      <c r="L26" s="548"/>
      <c r="M26" s="550"/>
      <c r="N26" s="549"/>
    </row>
    <row r="27" spans="1:18" s="153" customFormat="1" hidden="1" x14ac:dyDescent="0.45">
      <c r="A27" s="230" t="s">
        <v>219</v>
      </c>
      <c r="B27" s="232" t="s">
        <v>220</v>
      </c>
      <c r="C27" s="237" t="str">
        <f>IF('LAMPIRAN I DONE'!F20="magister (S2)","S2",IF('LAMPIRAN I DONE'!F20="Doktor (S3)","S3",""))</f>
        <v>S2</v>
      </c>
      <c r="D27" s="225"/>
      <c r="E27" s="202"/>
      <c r="F27" s="152"/>
      <c r="G27" s="215"/>
      <c r="H27" s="205"/>
      <c r="I27" s="206"/>
      <c r="J27" s="152"/>
      <c r="K27" s="525"/>
      <c r="L27" s="215"/>
      <c r="M27" s="544"/>
      <c r="N27" s="245"/>
    </row>
    <row r="28" spans="1:18" s="155" customFormat="1" hidden="1" x14ac:dyDescent="0.45">
      <c r="A28" s="231">
        <v>1</v>
      </c>
      <c r="B28" s="233" t="s">
        <v>221</v>
      </c>
      <c r="C28" s="200"/>
      <c r="D28" s="1160"/>
      <c r="E28" s="1116"/>
      <c r="F28" s="517"/>
      <c r="G28" s="216"/>
      <c r="H28" s="1117">
        <f>45%*(150-D33)</f>
        <v>67.5</v>
      </c>
      <c r="I28" s="1119" t="s">
        <v>232</v>
      </c>
      <c r="J28" s="528" t="str">
        <f>IF('LAMPIRAN I DONE'!$F$21="tenaga pengajar",'LAMPIRAN I DONE'!$G$34,"")</f>
        <v/>
      </c>
      <c r="K28" s="1123" t="str">
        <f>IFERROR(J28+J29,"")</f>
        <v/>
      </c>
      <c r="L28" s="1114" t="str">
        <f>IFERROR(K28/H33,"")</f>
        <v/>
      </c>
      <c r="M28" s="1162"/>
      <c r="N28" s="1169"/>
    </row>
    <row r="29" spans="1:18" s="155" customFormat="1" hidden="1" x14ac:dyDescent="0.45">
      <c r="A29" s="231">
        <v>2</v>
      </c>
      <c r="B29" s="233" t="s">
        <v>223</v>
      </c>
      <c r="C29" s="200"/>
      <c r="D29" s="1161"/>
      <c r="E29" s="1116"/>
      <c r="F29" s="518"/>
      <c r="G29" s="217"/>
      <c r="H29" s="1118"/>
      <c r="I29" s="1120"/>
      <c r="J29" s="528" t="str">
        <f>IF('LAMPIRAN I DONE'!$F$21="tenaga pengajar",'LAMPIRAN I DONE'!$G$50,"")</f>
        <v/>
      </c>
      <c r="K29" s="1124"/>
      <c r="L29" s="1115"/>
      <c r="M29" s="1163"/>
      <c r="N29" s="1170"/>
    </row>
    <row r="30" spans="1:18" s="155" customFormat="1" hidden="1" x14ac:dyDescent="0.45">
      <c r="A30" s="231">
        <v>3</v>
      </c>
      <c r="B30" s="234" t="s">
        <v>224</v>
      </c>
      <c r="C30" s="156"/>
      <c r="D30" s="542"/>
      <c r="E30" s="510"/>
      <c r="F30" s="508"/>
      <c r="G30" s="218"/>
      <c r="H30" s="207">
        <f>35%*(150-D33)</f>
        <v>52.5</v>
      </c>
      <c r="I30" s="208" t="s">
        <v>233</v>
      </c>
      <c r="J30" s="528" t="str">
        <f>IF('LAMPIRAN I DONE'!$F$21="tenaga pengajar",'LAMPIRAN I DONE'!$G$76,"")</f>
        <v/>
      </c>
      <c r="K30" s="529" t="str">
        <f>J30</f>
        <v/>
      </c>
      <c r="L30" s="243" t="str">
        <f>IFERROR(K30/H33,"")</f>
        <v/>
      </c>
      <c r="M30" s="545"/>
      <c r="N30" s="243"/>
    </row>
    <row r="31" spans="1:18" s="155" customFormat="1" hidden="1" x14ac:dyDescent="0.45">
      <c r="A31" s="231">
        <v>4</v>
      </c>
      <c r="B31" s="234" t="s">
        <v>226</v>
      </c>
      <c r="C31" s="156"/>
      <c r="D31" s="542"/>
      <c r="E31" s="510"/>
      <c r="F31" s="508"/>
      <c r="G31" s="218"/>
      <c r="H31" s="207">
        <f>10%*(150-D33)</f>
        <v>15</v>
      </c>
      <c r="I31" s="208" t="s">
        <v>227</v>
      </c>
      <c r="J31" s="528" t="str">
        <f>IF('LAMPIRAN I DONE'!$F$21="tenaga pengajar",'LAMPIRAN I DONE'!$G$83,"")</f>
        <v/>
      </c>
      <c r="K31" s="529" t="str">
        <f>IF(J31="","",IF(J31&gt;(10/100*(H33)),(10/100*(H33)),J31))</f>
        <v/>
      </c>
      <c r="L31" s="243" t="str">
        <f>IFERROR(K31/H33,"")</f>
        <v/>
      </c>
      <c r="M31" s="545"/>
      <c r="N31" s="243"/>
    </row>
    <row r="32" spans="1:18" s="155" customFormat="1" hidden="1" x14ac:dyDescent="0.45">
      <c r="A32" s="231">
        <v>5</v>
      </c>
      <c r="B32" s="234" t="s">
        <v>228</v>
      </c>
      <c r="C32" s="156"/>
      <c r="D32" s="542"/>
      <c r="E32" s="510"/>
      <c r="F32" s="508"/>
      <c r="G32" s="218"/>
      <c r="H32" s="207">
        <f>10%*(150-D33)</f>
        <v>15</v>
      </c>
      <c r="I32" s="208" t="s">
        <v>227</v>
      </c>
      <c r="J32" s="528" t="str">
        <f>IF('LAMPIRAN I DONE'!$F$21="tenaga pengajar",'LAMPIRAN I DONE'!$G$96,"")</f>
        <v/>
      </c>
      <c r="K32" s="527" t="str">
        <f>IF(J31="","",IF(J31&gt;(10/100*(H33)),(10/100*(H33)),J31))</f>
        <v/>
      </c>
      <c r="L32" s="243" t="str">
        <f>IFERROR(K32/H33,"")</f>
        <v/>
      </c>
      <c r="M32" s="545"/>
      <c r="N32" s="243"/>
    </row>
    <row r="33" spans="1:14" s="158" customFormat="1" hidden="1" x14ac:dyDescent="0.45">
      <c r="A33" s="193"/>
      <c r="B33" s="1131" t="s">
        <v>229</v>
      </c>
      <c r="C33" s="1132"/>
      <c r="D33" s="503">
        <f>SUM(D28:D32)</f>
        <v>0</v>
      </c>
      <c r="E33" s="157"/>
      <c r="F33" s="157">
        <f>SUM(F28:F32)</f>
        <v>0</v>
      </c>
      <c r="G33" s="219">
        <f>SUM(G28:G32)</f>
        <v>0</v>
      </c>
      <c r="H33" s="209">
        <f>SUM(H28:H32)</f>
        <v>150</v>
      </c>
      <c r="I33" s="210"/>
      <c r="J33" s="157">
        <f>SUM(J28:J32)</f>
        <v>0</v>
      </c>
      <c r="K33" s="526"/>
      <c r="L33" s="242"/>
      <c r="M33" s="546"/>
      <c r="N33" s="547"/>
    </row>
    <row r="34" spans="1:14" s="155" customFormat="1" hidden="1" x14ac:dyDescent="0.45">
      <c r="A34" s="231"/>
      <c r="B34" s="234"/>
      <c r="C34" s="156"/>
      <c r="D34" s="504"/>
      <c r="E34" s="154"/>
      <c r="F34" s="154"/>
      <c r="G34" s="220"/>
      <c r="H34" s="207"/>
      <c r="I34" s="211"/>
      <c r="J34" s="154"/>
      <c r="K34" s="527"/>
      <c r="L34" s="244"/>
      <c r="M34" s="207"/>
      <c r="N34" s="220"/>
    </row>
    <row r="35" spans="1:14" s="153" customFormat="1" hidden="1" x14ac:dyDescent="0.45">
      <c r="A35" s="230" t="s">
        <v>230</v>
      </c>
      <c r="B35" s="232" t="s">
        <v>231</v>
      </c>
      <c r="C35" s="237" t="str">
        <f>IF('LAMPIRAN I DONE'!F20="magister (S2)","S2",IF('LAMPIRAN I DONE'!F20="Doktor (S3)","S3",""))</f>
        <v>S2</v>
      </c>
      <c r="D35" s="237" t="s">
        <v>254</v>
      </c>
      <c r="E35" s="152"/>
      <c r="F35" s="152"/>
      <c r="G35" s="215"/>
      <c r="H35" s="205"/>
      <c r="I35" s="210"/>
      <c r="J35" s="152"/>
      <c r="K35" s="525"/>
      <c r="L35" s="242"/>
      <c r="M35" s="227"/>
      <c r="N35" s="215"/>
    </row>
    <row r="36" spans="1:14" s="155" customFormat="1" hidden="1" x14ac:dyDescent="0.45">
      <c r="A36" s="231">
        <v>1</v>
      </c>
      <c r="B36" s="233" t="s">
        <v>221</v>
      </c>
      <c r="C36" s="200"/>
      <c r="D36" s="1079"/>
      <c r="E36" s="1116"/>
      <c r="F36" s="517"/>
      <c r="G36" s="216"/>
      <c r="H36" s="1117">
        <f>45%*(200-D41)</f>
        <v>22.5</v>
      </c>
      <c r="I36" s="1119" t="s">
        <v>232</v>
      </c>
      <c r="J36" s="528" t="str">
        <f>IF('LAMPIRAN I DONE'!$F$21="asisten ahli",'LAMPIRAN I DONE'!$G$34,"")</f>
        <v/>
      </c>
      <c r="K36" s="1123" t="str">
        <f>IFERROR(J36+J37,"")</f>
        <v/>
      </c>
      <c r="L36" s="1114" t="str">
        <f>IFERROR(K36/H41,"")</f>
        <v/>
      </c>
      <c r="M36" s="1117"/>
      <c r="N36" s="1171"/>
    </row>
    <row r="37" spans="1:14" s="155" customFormat="1" hidden="1" x14ac:dyDescent="0.45">
      <c r="A37" s="231">
        <v>2</v>
      </c>
      <c r="B37" s="233" t="s">
        <v>223</v>
      </c>
      <c r="C37" s="200"/>
      <c r="D37" s="1075"/>
      <c r="E37" s="1116"/>
      <c r="F37" s="518"/>
      <c r="G37" s="217"/>
      <c r="H37" s="1118"/>
      <c r="I37" s="1120"/>
      <c r="J37" s="528" t="str">
        <f>IF('LAMPIRAN I DONE'!$F$21="asisten ahli",'LAMPIRAN I DONE'!$G$50,"")</f>
        <v/>
      </c>
      <c r="K37" s="1124"/>
      <c r="L37" s="1115"/>
      <c r="M37" s="1118"/>
      <c r="N37" s="1172"/>
    </row>
    <row r="38" spans="1:14" s="155" customFormat="1" hidden="1" x14ac:dyDescent="0.45">
      <c r="A38" s="231">
        <v>3</v>
      </c>
      <c r="B38" s="234" t="s">
        <v>224</v>
      </c>
      <c r="C38" s="156"/>
      <c r="D38" s="543"/>
      <c r="E38" s="541"/>
      <c r="F38" s="508"/>
      <c r="G38" s="218"/>
      <c r="H38" s="207">
        <f>35%*(200-D41)</f>
        <v>17.5</v>
      </c>
      <c r="I38" s="208" t="s">
        <v>233</v>
      </c>
      <c r="J38" s="528" t="str">
        <f>IF('LAMPIRAN I DONE'!$F$21="asisten ahli",'LAMPIRAN I DONE'!$G$76,"")</f>
        <v/>
      </c>
      <c r="K38" s="529" t="str">
        <f>J38</f>
        <v/>
      </c>
      <c r="L38" s="243" t="str">
        <f>IFERROR(K38/H41,"")</f>
        <v/>
      </c>
      <c r="M38" s="228"/>
      <c r="N38" s="226"/>
    </row>
    <row r="39" spans="1:14" s="155" customFormat="1" hidden="1" x14ac:dyDescent="0.45">
      <c r="A39" s="231">
        <v>4</v>
      </c>
      <c r="B39" s="234" t="s">
        <v>226</v>
      </c>
      <c r="C39" s="156"/>
      <c r="D39" s="543"/>
      <c r="E39" s="510"/>
      <c r="F39" s="508"/>
      <c r="G39" s="218"/>
      <c r="H39" s="207">
        <f>10%*(200-D41)</f>
        <v>5</v>
      </c>
      <c r="I39" s="208" t="s">
        <v>227</v>
      </c>
      <c r="J39" s="528" t="str">
        <f>IF('LAMPIRAN I DONE'!$F$21="asisten ahli",'LAMPIRAN I DONE'!$G$83,"")</f>
        <v/>
      </c>
      <c r="K39" s="529" t="str">
        <f>IF(J39="","",IF(J39&gt;(10/100*(H41)),(10/100*(H41)),J39))</f>
        <v/>
      </c>
      <c r="L39" s="243" t="str">
        <f>IFERROR(K39/H41,"")</f>
        <v/>
      </c>
      <c r="M39" s="228"/>
      <c r="N39" s="226"/>
    </row>
    <row r="40" spans="1:14" s="155" customFormat="1" hidden="1" x14ac:dyDescent="0.45">
      <c r="A40" s="231">
        <v>5</v>
      </c>
      <c r="B40" s="234" t="s">
        <v>228</v>
      </c>
      <c r="C40" s="156"/>
      <c r="D40" s="543"/>
      <c r="E40" s="510"/>
      <c r="F40" s="508"/>
      <c r="G40" s="218"/>
      <c r="H40" s="207">
        <f>10%*(200-D41)</f>
        <v>5</v>
      </c>
      <c r="I40" s="208" t="s">
        <v>227</v>
      </c>
      <c r="J40" s="528" t="str">
        <f>IF('LAMPIRAN I DONE'!$F$21="asisten ahli",'LAMPIRAN I DONE'!$G$96,"")</f>
        <v/>
      </c>
      <c r="K40" s="527" t="str">
        <f>IF(J39="","",IF(J39&gt;(10/100*(H41)),(10/100*(H41)),J39))</f>
        <v/>
      </c>
      <c r="L40" s="243" t="str">
        <f>IFERROR(K40/H41,"")</f>
        <v/>
      </c>
      <c r="M40" s="228"/>
      <c r="N40" s="226"/>
    </row>
    <row r="41" spans="1:14" s="158" customFormat="1" hidden="1" x14ac:dyDescent="0.45">
      <c r="A41" s="193"/>
      <c r="B41" s="1131" t="s">
        <v>229</v>
      </c>
      <c r="C41" s="1132"/>
      <c r="D41" s="503">
        <f>IF(D35="AA(100)",100,IF(D35="AA(150)",150,""))</f>
        <v>150</v>
      </c>
      <c r="E41" s="157"/>
      <c r="F41" s="157">
        <f>SUM(F36:F40)</f>
        <v>0</v>
      </c>
      <c r="G41" s="219">
        <f>SUM(G36:G40)</f>
        <v>0</v>
      </c>
      <c r="H41" s="209">
        <f>SUM(H36:H40)</f>
        <v>50</v>
      </c>
      <c r="I41" s="210"/>
      <c r="J41" s="157">
        <f>SUM(J36:J40)</f>
        <v>0</v>
      </c>
      <c r="K41" s="526">
        <f>SUM(K36:K40)</f>
        <v>0</v>
      </c>
      <c r="L41" s="242"/>
      <c r="M41" s="209"/>
      <c r="N41" s="219"/>
    </row>
    <row r="42" spans="1:14" s="155" customFormat="1" hidden="1" x14ac:dyDescent="0.45">
      <c r="A42" s="231"/>
      <c r="B42" s="234"/>
      <c r="C42" s="156"/>
      <c r="D42" s="504"/>
      <c r="E42" s="154"/>
      <c r="F42" s="154"/>
      <c r="G42" s="220"/>
      <c r="H42" s="207"/>
      <c r="I42" s="211"/>
      <c r="J42" s="154"/>
      <c r="K42" s="527"/>
      <c r="L42" s="244"/>
      <c r="M42" s="207"/>
      <c r="N42" s="220"/>
    </row>
    <row r="43" spans="1:14" s="153" customFormat="1" hidden="1" x14ac:dyDescent="0.45">
      <c r="A43" s="230" t="s">
        <v>234</v>
      </c>
      <c r="B43" s="232" t="s">
        <v>235</v>
      </c>
      <c r="C43" s="237" t="str">
        <f>IF('LAMPIRAN I DONE'!F20="magister (S2)","S2",IF('LAMPIRAN I DONE'!F20="Doktor (S3)","S3",""))</f>
        <v>S2</v>
      </c>
      <c r="D43" s="237" t="s">
        <v>254</v>
      </c>
      <c r="E43" s="152"/>
      <c r="F43" s="152"/>
      <c r="G43" s="215"/>
      <c r="H43" s="205"/>
      <c r="I43" s="210"/>
      <c r="J43" s="152"/>
      <c r="K43" s="525"/>
      <c r="L43" s="242"/>
      <c r="M43" s="227"/>
      <c r="N43" s="215"/>
    </row>
    <row r="44" spans="1:14" s="155" customFormat="1" hidden="1" x14ac:dyDescent="0.45">
      <c r="A44" s="231">
        <v>1</v>
      </c>
      <c r="B44" s="233" t="s">
        <v>221</v>
      </c>
      <c r="C44" s="200"/>
      <c r="D44" s="1079"/>
      <c r="E44" s="1116"/>
      <c r="F44" s="517"/>
      <c r="G44" s="216"/>
      <c r="H44" s="1117">
        <f>45%*(300-D49-'LAMPIRAN II DONE'!$G$30)</f>
        <v>67.5</v>
      </c>
      <c r="I44" s="1119" t="s">
        <v>232</v>
      </c>
      <c r="J44" s="528" t="str">
        <f>IF('LAMPIRAN I DONE'!$F$21="asisten ahli",'LAMPIRAN I DONE'!$G$34,"")</f>
        <v/>
      </c>
      <c r="K44" s="1123" t="str">
        <f>IFERROR(J44+J45,"")</f>
        <v/>
      </c>
      <c r="L44" s="1114" t="str">
        <f>IFERROR(K44/H49,"")</f>
        <v/>
      </c>
      <c r="M44" s="1117"/>
      <c r="N44" s="1171"/>
    </row>
    <row r="45" spans="1:14" s="155" customFormat="1" hidden="1" x14ac:dyDescent="0.45">
      <c r="A45" s="231">
        <v>2</v>
      </c>
      <c r="B45" s="233" t="s">
        <v>223</v>
      </c>
      <c r="C45" s="200"/>
      <c r="D45" s="1075"/>
      <c r="E45" s="1116"/>
      <c r="F45" s="518"/>
      <c r="G45" s="217"/>
      <c r="H45" s="1118"/>
      <c r="I45" s="1120"/>
      <c r="J45" s="528" t="str">
        <f>IF('LAMPIRAN I DONE'!$F$21="asisten ahli",'LAMPIRAN I DONE'!$G$50,"")</f>
        <v/>
      </c>
      <c r="K45" s="1124"/>
      <c r="L45" s="1115"/>
      <c r="M45" s="1118"/>
      <c r="N45" s="1172"/>
    </row>
    <row r="46" spans="1:14" s="155" customFormat="1" hidden="1" x14ac:dyDescent="0.45">
      <c r="A46" s="231">
        <v>3</v>
      </c>
      <c r="B46" s="234" t="s">
        <v>224</v>
      </c>
      <c r="C46" s="156"/>
      <c r="D46" s="543"/>
      <c r="E46" s="541"/>
      <c r="F46" s="508"/>
      <c r="G46" s="218"/>
      <c r="H46" s="207">
        <f>35%*(300-D49-'LAMPIRAN II DONE'!$G$30)</f>
        <v>52.5</v>
      </c>
      <c r="I46" s="208" t="s">
        <v>233</v>
      </c>
      <c r="J46" s="528" t="str">
        <f>IF('LAMPIRAN I DONE'!$F$21="asisten ahli",'LAMPIRAN I DONE'!$G$76,"")</f>
        <v/>
      </c>
      <c r="K46" s="529" t="str">
        <f>J46</f>
        <v/>
      </c>
      <c r="L46" s="243" t="str">
        <f>IFERROR(K46/H49,"")</f>
        <v/>
      </c>
      <c r="M46" s="228"/>
      <c r="N46" s="226"/>
    </row>
    <row r="47" spans="1:14" s="155" customFormat="1" hidden="1" x14ac:dyDescent="0.45">
      <c r="A47" s="231">
        <v>4</v>
      </c>
      <c r="B47" s="234" t="s">
        <v>226</v>
      </c>
      <c r="C47" s="156"/>
      <c r="D47" s="543"/>
      <c r="E47" s="510"/>
      <c r="F47" s="508"/>
      <c r="G47" s="218"/>
      <c r="H47" s="207">
        <f>10%*(300-D49-'LAMPIRAN II DONE'!$G$30)</f>
        <v>15</v>
      </c>
      <c r="I47" s="208" t="s">
        <v>227</v>
      </c>
      <c r="J47" s="528" t="str">
        <f>IF('LAMPIRAN I DONE'!$F$21="asisten ahli",'LAMPIRAN I DONE'!$G$83,"")</f>
        <v/>
      </c>
      <c r="K47" s="529" t="str">
        <f>IF(J47="","",IF(J47&gt;(10/100*(H49)),(10/100*(H49)),J47))</f>
        <v/>
      </c>
      <c r="L47" s="243" t="str">
        <f>IFERROR(K47/H49,"")</f>
        <v/>
      </c>
      <c r="M47" s="228"/>
      <c r="N47" s="226"/>
    </row>
    <row r="48" spans="1:14" s="155" customFormat="1" hidden="1" x14ac:dyDescent="0.45">
      <c r="A48" s="231">
        <v>5</v>
      </c>
      <c r="B48" s="234" t="s">
        <v>228</v>
      </c>
      <c r="C48" s="156"/>
      <c r="D48" s="543"/>
      <c r="E48" s="510"/>
      <c r="F48" s="508"/>
      <c r="G48" s="218"/>
      <c r="H48" s="207">
        <f>10%*(300-D49-'LAMPIRAN II DONE'!$G$30)</f>
        <v>15</v>
      </c>
      <c r="I48" s="208" t="s">
        <v>227</v>
      </c>
      <c r="J48" s="528" t="str">
        <f>IF('LAMPIRAN I DONE'!$F$21="asisten ahli",'LAMPIRAN I DONE'!$G$96,"")</f>
        <v/>
      </c>
      <c r="K48" s="527" t="str">
        <f>IF(J47="","",IF(J47&gt;(10/100*(H49)),(10/100*(H49)),J47))</f>
        <v/>
      </c>
      <c r="L48" s="243" t="str">
        <f>IFERROR(K48/H49,"")</f>
        <v/>
      </c>
      <c r="M48" s="228"/>
      <c r="N48" s="226"/>
    </row>
    <row r="49" spans="1:14" s="158" customFormat="1" hidden="1" x14ac:dyDescent="0.45">
      <c r="A49" s="193"/>
      <c r="B49" s="1131" t="s">
        <v>229</v>
      </c>
      <c r="C49" s="1132"/>
      <c r="D49" s="503">
        <f>IF(D43="AA(100)",100,IF(D43="AA(150)",150,""))</f>
        <v>150</v>
      </c>
      <c r="E49" s="157"/>
      <c r="F49" s="157">
        <f>SUM(F44:F48)</f>
        <v>0</v>
      </c>
      <c r="G49" s="219">
        <f>SUM(G44:G48)</f>
        <v>0</v>
      </c>
      <c r="H49" s="209">
        <f>SUM(H44:H48)</f>
        <v>150</v>
      </c>
      <c r="I49" s="210"/>
      <c r="J49" s="157">
        <f>SUM(J44:J48)</f>
        <v>0</v>
      </c>
      <c r="K49" s="526">
        <f>SUM(K44:K48)</f>
        <v>0</v>
      </c>
      <c r="L49" s="242"/>
      <c r="M49" s="209"/>
      <c r="N49" s="219"/>
    </row>
    <row r="50" spans="1:14" s="155" customFormat="1" x14ac:dyDescent="0.45">
      <c r="A50" s="231"/>
      <c r="B50" s="234"/>
      <c r="C50" s="156"/>
      <c r="D50" s="504"/>
      <c r="E50" s="154"/>
      <c r="F50" s="154"/>
      <c r="G50" s="220"/>
      <c r="H50" s="207"/>
      <c r="I50" s="211"/>
      <c r="J50" s="154"/>
      <c r="K50" s="527"/>
      <c r="L50" s="244"/>
      <c r="M50" s="207"/>
      <c r="N50" s="220"/>
    </row>
    <row r="51" spans="1:14" s="153" customFormat="1" x14ac:dyDescent="0.45">
      <c r="A51" s="230" t="s">
        <v>236</v>
      </c>
      <c r="B51" s="232" t="s">
        <v>852</v>
      </c>
      <c r="C51" s="237" t="str">
        <f>IF('LAMPIRAN I DONE'!F20="magister (S2)","S2",IF('LAMPIRAN I DONE'!F20="Doktor (S3)","S3",""))</f>
        <v>S2</v>
      </c>
      <c r="D51" s="505"/>
      <c r="E51" s="508"/>
      <c r="F51" s="152"/>
      <c r="G51" s="215"/>
      <c r="H51" s="205"/>
      <c r="I51" s="210"/>
      <c r="J51" s="152"/>
      <c r="K51" s="525"/>
      <c r="L51" s="242"/>
      <c r="M51" s="227"/>
      <c r="N51" s="215"/>
    </row>
    <row r="52" spans="1:14" s="155" customFormat="1" x14ac:dyDescent="0.45">
      <c r="A52" s="231">
        <v>1</v>
      </c>
      <c r="B52" s="235" t="s">
        <v>221</v>
      </c>
      <c r="C52" s="201"/>
      <c r="D52" s="1079"/>
      <c r="E52" s="1116"/>
      <c r="F52" s="517"/>
      <c r="G52" s="216"/>
      <c r="H52" s="1117">
        <f>40%*(400-D57-'LAMPIRAN II DONE'!$G$30)</f>
        <v>160</v>
      </c>
      <c r="I52" s="1119" t="s">
        <v>238</v>
      </c>
      <c r="J52" s="528">
        <f>'LAMPIRAN II DONE'!G35</f>
        <v>0</v>
      </c>
      <c r="K52" s="1123">
        <f>IFERROR(J52+J53,"")</f>
        <v>64</v>
      </c>
      <c r="L52" s="1114">
        <f>IFERROR(K52/H57,"")</f>
        <v>0.16</v>
      </c>
      <c r="M52" s="1121">
        <f>K52</f>
        <v>64</v>
      </c>
      <c r="N52" s="1112">
        <f>IFERROR(M52/H57,"")</f>
        <v>0.16</v>
      </c>
    </row>
    <row r="53" spans="1:14" s="155" customFormat="1" x14ac:dyDescent="0.45">
      <c r="A53" s="231">
        <v>2</v>
      </c>
      <c r="B53" s="235" t="s">
        <v>223</v>
      </c>
      <c r="C53" s="201"/>
      <c r="D53" s="1075"/>
      <c r="E53" s="1116"/>
      <c r="F53" s="518"/>
      <c r="G53" s="217"/>
      <c r="H53" s="1118"/>
      <c r="I53" s="1120"/>
      <c r="J53" s="528">
        <f>'LAMPIRAN II DONE'!G1157</f>
        <v>64</v>
      </c>
      <c r="K53" s="1124"/>
      <c r="L53" s="1115"/>
      <c r="M53" s="1122"/>
      <c r="N53" s="1113"/>
    </row>
    <row r="54" spans="1:14" s="155" customFormat="1" x14ac:dyDescent="0.45">
      <c r="A54" s="231">
        <v>3</v>
      </c>
      <c r="B54" s="236" t="s">
        <v>224</v>
      </c>
      <c r="C54" s="191"/>
      <c r="D54" s="543"/>
      <c r="E54" s="541"/>
      <c r="F54" s="508"/>
      <c r="G54" s="218"/>
      <c r="H54" s="207">
        <f>40%*(400-D57-'LAMPIRAN II DONE'!$G$30)</f>
        <v>160</v>
      </c>
      <c r="I54" s="208" t="s">
        <v>238</v>
      </c>
      <c r="J54" s="528">
        <f>'LAMPIRAN III DONE'!G185</f>
        <v>73.334999999999994</v>
      </c>
      <c r="K54" s="529">
        <f>J54</f>
        <v>73.334999999999994</v>
      </c>
      <c r="L54" s="243">
        <f>IFERROR(K54/H57,"")</f>
        <v>0.18333749999999999</v>
      </c>
      <c r="M54" s="535" t="e">
        <f>'Reviewer Eksternal (LK&amp;GB)1'!$K$139</f>
        <v>#REF!</v>
      </c>
      <c r="N54" s="536" t="str">
        <f>IFERROR(M54/H57,"")</f>
        <v/>
      </c>
    </row>
    <row r="55" spans="1:14" s="155" customFormat="1" x14ac:dyDescent="0.45">
      <c r="A55" s="231">
        <v>4</v>
      </c>
      <c r="B55" s="236" t="s">
        <v>226</v>
      </c>
      <c r="C55" s="191"/>
      <c r="D55" s="543"/>
      <c r="E55" s="510"/>
      <c r="F55" s="508"/>
      <c r="G55" s="218"/>
      <c r="H55" s="207">
        <f>10%*(400-D57-'LAMPIRAN II DONE'!$G$30)</f>
        <v>40</v>
      </c>
      <c r="I55" s="208" t="s">
        <v>227</v>
      </c>
      <c r="J55" s="528">
        <f>'LAMPIRAN IV DONE'!G85</f>
        <v>7</v>
      </c>
      <c r="K55" s="529">
        <f>IF(J55="","",IF(J55&gt;(10/100*(H57)),(10/100*(H57)),J55))</f>
        <v>7</v>
      </c>
      <c r="L55" s="243">
        <f>IFERROR(K55/H57,"")</f>
        <v>1.7500000000000002E-2</v>
      </c>
      <c r="M55" s="535">
        <f>K55</f>
        <v>7</v>
      </c>
      <c r="N55" s="536">
        <f>IFERROR(M55/H57,"")</f>
        <v>1.7500000000000002E-2</v>
      </c>
    </row>
    <row r="56" spans="1:14" s="155" customFormat="1" x14ac:dyDescent="0.45">
      <c r="A56" s="231">
        <v>5</v>
      </c>
      <c r="B56" s="236" t="s">
        <v>228</v>
      </c>
      <c r="C56" s="191"/>
      <c r="D56" s="543"/>
      <c r="E56" s="510"/>
      <c r="F56" s="508"/>
      <c r="G56" s="218"/>
      <c r="H56" s="207">
        <f>10%*(400-D57-'LAMPIRAN II DONE'!$G$30)</f>
        <v>40</v>
      </c>
      <c r="I56" s="208" t="s">
        <v>227</v>
      </c>
      <c r="J56" s="528">
        <f>'LAMPIRAN V DONE'!G157</f>
        <v>20</v>
      </c>
      <c r="K56" s="527">
        <f>IF(J56="","",IF(J56&gt;(10/100*(H57)),(10/100*(H57)),J56))</f>
        <v>20</v>
      </c>
      <c r="L56" s="243">
        <f>IFERROR(K56/H57,"")</f>
        <v>0.05</v>
      </c>
      <c r="M56" s="535">
        <f>K56</f>
        <v>20</v>
      </c>
      <c r="N56" s="536">
        <f>IFERROR(M56/H57,"")</f>
        <v>0.05</v>
      </c>
    </row>
    <row r="57" spans="1:14" s="158" customFormat="1" x14ac:dyDescent="0.45">
      <c r="A57" s="193"/>
      <c r="B57" s="1131" t="s">
        <v>229</v>
      </c>
      <c r="C57" s="1132"/>
      <c r="D57" s="503">
        <f>SUM(D52:D56)</f>
        <v>0</v>
      </c>
      <c r="E57" s="157"/>
      <c r="F57" s="157">
        <f t="shared" ref="F57:G57" si="0">SUM(F52:F56)</f>
        <v>0</v>
      </c>
      <c r="G57" s="219">
        <f t="shared" si="0"/>
        <v>0</v>
      </c>
      <c r="H57" s="209">
        <f>SUM(H52:H56)</f>
        <v>400</v>
      </c>
      <c r="I57" s="210"/>
      <c r="J57" s="157">
        <f>SUM(J52:J56)</f>
        <v>164.33499999999998</v>
      </c>
      <c r="K57" s="526"/>
      <c r="L57" s="242"/>
      <c r="M57" s="537" t="e">
        <f>SUM(M52:M56)</f>
        <v>#REF!</v>
      </c>
      <c r="N57" s="538"/>
    </row>
    <row r="58" spans="1:14" s="155" customFormat="1" x14ac:dyDescent="0.45">
      <c r="A58" s="231"/>
      <c r="B58" s="234"/>
      <c r="C58" s="156"/>
      <c r="D58" s="504"/>
      <c r="E58" s="154"/>
      <c r="F58" s="154"/>
      <c r="G58" s="220"/>
      <c r="H58" s="207"/>
      <c r="I58" s="211"/>
      <c r="J58" s="1108" t="s">
        <v>851</v>
      </c>
      <c r="K58" s="1109"/>
      <c r="L58" s="1110"/>
      <c r="M58" s="1106" t="e">
        <f>M57+D57</f>
        <v>#REF!</v>
      </c>
      <c r="N58" s="1107"/>
    </row>
    <row r="59" spans="1:14" s="153" customFormat="1" x14ac:dyDescent="0.45">
      <c r="A59" s="230" t="s">
        <v>239</v>
      </c>
      <c r="B59" s="232" t="s">
        <v>853</v>
      </c>
      <c r="C59" s="237" t="str">
        <f>IF('LAMPIRAN I DONE'!F20="magister (S2)","S2",IF('LAMPIRAN I DONE'!F20="Doktor (S3)","S3",""))</f>
        <v>S2</v>
      </c>
      <c r="D59" s="506"/>
      <c r="E59" s="152"/>
      <c r="F59" s="152"/>
      <c r="G59" s="215"/>
      <c r="H59" s="205"/>
      <c r="I59" s="210"/>
      <c r="J59" s="152"/>
      <c r="K59" s="525"/>
      <c r="L59" s="242"/>
      <c r="M59" s="227"/>
      <c r="N59" s="215"/>
    </row>
    <row r="60" spans="1:14" s="155" customFormat="1" x14ac:dyDescent="0.45">
      <c r="A60" s="231">
        <v>1</v>
      </c>
      <c r="B60" s="233" t="s">
        <v>221</v>
      </c>
      <c r="C60" s="200"/>
      <c r="D60" s="1079"/>
      <c r="E60" s="1116"/>
      <c r="F60" s="517"/>
      <c r="G60" s="216"/>
      <c r="H60" s="1117">
        <f>40%*(550-D65-'LAMPIRAN II DONE'!$G$30)</f>
        <v>220</v>
      </c>
      <c r="I60" s="1119" t="s">
        <v>238</v>
      </c>
      <c r="J60" s="528">
        <f>J52</f>
        <v>0</v>
      </c>
      <c r="K60" s="1123">
        <f>IFERROR(J60+J61,"")</f>
        <v>64</v>
      </c>
      <c r="L60" s="1114">
        <f>IFERROR(K60/H65,"")</f>
        <v>0.11636363636363636</v>
      </c>
      <c r="M60" s="1121">
        <f>K60</f>
        <v>64</v>
      </c>
      <c r="N60" s="1112">
        <f>IFERROR(M60/H65,"")</f>
        <v>0.11636363636363636</v>
      </c>
    </row>
    <row r="61" spans="1:14" s="155" customFormat="1" x14ac:dyDescent="0.45">
      <c r="A61" s="231">
        <v>2</v>
      </c>
      <c r="B61" s="233" t="s">
        <v>223</v>
      </c>
      <c r="C61" s="200"/>
      <c r="D61" s="1075"/>
      <c r="E61" s="1116"/>
      <c r="F61" s="518"/>
      <c r="G61" s="217"/>
      <c r="H61" s="1118"/>
      <c r="I61" s="1120"/>
      <c r="J61" s="528">
        <f t="shared" ref="J61:J64" si="1">J53</f>
        <v>64</v>
      </c>
      <c r="K61" s="1124"/>
      <c r="L61" s="1115"/>
      <c r="M61" s="1122"/>
      <c r="N61" s="1113"/>
    </row>
    <row r="62" spans="1:14" s="155" customFormat="1" x14ac:dyDescent="0.45">
      <c r="A62" s="231">
        <v>3</v>
      </c>
      <c r="B62" s="234" t="s">
        <v>224</v>
      </c>
      <c r="C62" s="156"/>
      <c r="D62" s="543"/>
      <c r="E62" s="541"/>
      <c r="F62" s="508"/>
      <c r="G62" s="218"/>
      <c r="H62" s="207">
        <f>40%*(550-D65-'LAMPIRAN II DONE'!$G$30)</f>
        <v>220</v>
      </c>
      <c r="I62" s="208" t="s">
        <v>238</v>
      </c>
      <c r="J62" s="528">
        <f t="shared" si="1"/>
        <v>73.334999999999994</v>
      </c>
      <c r="K62" s="529">
        <f>J62</f>
        <v>73.334999999999994</v>
      </c>
      <c r="L62" s="243">
        <f>IFERROR(K62/H65,"")</f>
        <v>0.13333636363636361</v>
      </c>
      <c r="M62" s="535" t="e">
        <f>'Reviewer Eksternal (LK&amp;GB)1'!$K$139</f>
        <v>#REF!</v>
      </c>
      <c r="N62" s="536" t="str">
        <f>IFERROR(M62/H65,"")</f>
        <v/>
      </c>
    </row>
    <row r="63" spans="1:14" s="155" customFormat="1" x14ac:dyDescent="0.45">
      <c r="A63" s="231">
        <v>4</v>
      </c>
      <c r="B63" s="234" t="s">
        <v>226</v>
      </c>
      <c r="C63" s="156"/>
      <c r="D63" s="543"/>
      <c r="E63" s="510"/>
      <c r="F63" s="508"/>
      <c r="G63" s="218"/>
      <c r="H63" s="207">
        <f>10%*(550-D65-'LAMPIRAN II DONE'!$G$30)</f>
        <v>55</v>
      </c>
      <c r="I63" s="208" t="s">
        <v>227</v>
      </c>
      <c r="J63" s="528">
        <f t="shared" si="1"/>
        <v>7</v>
      </c>
      <c r="K63" s="529">
        <f>IF(J63="","",IF(J63&gt;(10/100*(H65)),(10/100*(H65)),J63))</f>
        <v>7</v>
      </c>
      <c r="L63" s="243">
        <f>IFERROR(K63/H65,"")</f>
        <v>1.2727272727272728E-2</v>
      </c>
      <c r="M63" s="535">
        <f>K63</f>
        <v>7</v>
      </c>
      <c r="N63" s="536">
        <f>IFERROR(M63/H65,"")</f>
        <v>1.2727272727272728E-2</v>
      </c>
    </row>
    <row r="64" spans="1:14" s="155" customFormat="1" x14ac:dyDescent="0.45">
      <c r="A64" s="231">
        <v>5</v>
      </c>
      <c r="B64" s="234" t="s">
        <v>228</v>
      </c>
      <c r="C64" s="156"/>
      <c r="D64" s="543"/>
      <c r="E64" s="510"/>
      <c r="F64" s="508"/>
      <c r="G64" s="218"/>
      <c r="H64" s="207">
        <f>10%*(550-D65-'LAMPIRAN II DONE'!$G$30)</f>
        <v>55</v>
      </c>
      <c r="I64" s="208" t="s">
        <v>227</v>
      </c>
      <c r="J64" s="528">
        <f t="shared" si="1"/>
        <v>20</v>
      </c>
      <c r="K64" s="527">
        <f>IF(J64="","",IF(J64&gt;(10/100*(H65)),(10/100*(H65)),J64))</f>
        <v>20</v>
      </c>
      <c r="L64" s="243">
        <f>IFERROR(K64/H65,"")</f>
        <v>3.6363636363636362E-2</v>
      </c>
      <c r="M64" s="535">
        <f>K64</f>
        <v>20</v>
      </c>
      <c r="N64" s="536">
        <f>IFERROR(M64/H65,"")</f>
        <v>3.6363636363636362E-2</v>
      </c>
    </row>
    <row r="65" spans="1:14" s="158" customFormat="1" x14ac:dyDescent="0.45">
      <c r="A65" s="193"/>
      <c r="B65" s="1131" t="s">
        <v>229</v>
      </c>
      <c r="C65" s="1132"/>
      <c r="D65" s="503">
        <f>SUM(D60:D64)</f>
        <v>0</v>
      </c>
      <c r="E65" s="157"/>
      <c r="F65" s="157">
        <f t="shared" ref="F65:G65" si="2">SUM(F60:F64)</f>
        <v>0</v>
      </c>
      <c r="G65" s="219">
        <f t="shared" si="2"/>
        <v>0</v>
      </c>
      <c r="H65" s="209">
        <f>SUM(H60:H64)</f>
        <v>550</v>
      </c>
      <c r="I65" s="210"/>
      <c r="J65" s="157">
        <f>SUM(J60:J64)</f>
        <v>164.33499999999998</v>
      </c>
      <c r="K65" s="526"/>
      <c r="L65" s="242"/>
      <c r="M65" s="537" t="e">
        <f>SUM(M60:M64)</f>
        <v>#REF!</v>
      </c>
      <c r="N65" s="538"/>
    </row>
    <row r="66" spans="1:14" s="155" customFormat="1" x14ac:dyDescent="0.45">
      <c r="A66" s="231"/>
      <c r="B66" s="234"/>
      <c r="C66" s="156"/>
      <c r="D66" s="504"/>
      <c r="E66" s="154"/>
      <c r="F66" s="154"/>
      <c r="G66" s="220"/>
      <c r="H66" s="207"/>
      <c r="I66" s="211"/>
      <c r="J66" s="1108" t="s">
        <v>851</v>
      </c>
      <c r="K66" s="1109"/>
      <c r="L66" s="1110"/>
      <c r="M66" s="1106" t="e">
        <f>M65+D65</f>
        <v>#REF!</v>
      </c>
      <c r="N66" s="1107"/>
    </row>
    <row r="67" spans="1:14" s="153" customFormat="1" x14ac:dyDescent="0.45">
      <c r="A67" s="230" t="s">
        <v>241</v>
      </c>
      <c r="B67" s="232" t="s">
        <v>854</v>
      </c>
      <c r="C67" s="237" t="str">
        <f>IF('LAMPIRAN I DONE'!F20="magister (S2)","S2",IF('LAMPIRAN I DONE'!F20="Doktor (S3)","S3",""))</f>
        <v>S2</v>
      </c>
      <c r="D67" s="505"/>
      <c r="E67" s="508"/>
      <c r="F67" s="152"/>
      <c r="G67" s="215"/>
      <c r="H67" s="207"/>
      <c r="I67" s="210"/>
      <c r="J67" s="152"/>
      <c r="K67" s="525"/>
      <c r="L67" s="245"/>
      <c r="M67" s="227"/>
      <c r="N67" s="215"/>
    </row>
    <row r="68" spans="1:14" s="155" customFormat="1" x14ac:dyDescent="0.45">
      <c r="A68" s="231">
        <v>1</v>
      </c>
      <c r="B68" s="233" t="s">
        <v>221</v>
      </c>
      <c r="C68" s="200"/>
      <c r="D68" s="1079"/>
      <c r="E68" s="1116"/>
      <c r="F68" s="517"/>
      <c r="G68" s="216"/>
      <c r="H68" s="1117">
        <f>40%*(700-D73-'LAMPIRAN II DONE'!$G$30)</f>
        <v>280</v>
      </c>
      <c r="I68" s="1119" t="s">
        <v>238</v>
      </c>
      <c r="J68" s="528">
        <f>J60</f>
        <v>0</v>
      </c>
      <c r="K68" s="1123">
        <f>IFERROR(J68+J69,"")</f>
        <v>64</v>
      </c>
      <c r="L68" s="1114">
        <f>IFERROR(K68/H73,"")</f>
        <v>9.1428571428571428E-2</v>
      </c>
      <c r="M68" s="1121">
        <f>K68</f>
        <v>64</v>
      </c>
      <c r="N68" s="1112">
        <f>IFERROR(M68/H73,"")</f>
        <v>9.1428571428571428E-2</v>
      </c>
    </row>
    <row r="69" spans="1:14" s="155" customFormat="1" x14ac:dyDescent="0.45">
      <c r="A69" s="231">
        <v>2</v>
      </c>
      <c r="B69" s="233" t="s">
        <v>223</v>
      </c>
      <c r="C69" s="200"/>
      <c r="D69" s="1075"/>
      <c r="E69" s="1116"/>
      <c r="F69" s="518"/>
      <c r="G69" s="217"/>
      <c r="H69" s="1118"/>
      <c r="I69" s="1120"/>
      <c r="J69" s="528">
        <f t="shared" ref="J69:J72" si="3">J61</f>
        <v>64</v>
      </c>
      <c r="K69" s="1124"/>
      <c r="L69" s="1115"/>
      <c r="M69" s="1122"/>
      <c r="N69" s="1113"/>
    </row>
    <row r="70" spans="1:14" s="155" customFormat="1" x14ac:dyDescent="0.45">
      <c r="A70" s="231">
        <v>3</v>
      </c>
      <c r="B70" s="234" t="s">
        <v>224</v>
      </c>
      <c r="C70" s="156"/>
      <c r="D70" s="543"/>
      <c r="E70" s="541"/>
      <c r="F70" s="508"/>
      <c r="G70" s="218"/>
      <c r="H70" s="207">
        <f>40%*(700-D73-'LAMPIRAN II DONE'!$G$30)</f>
        <v>280</v>
      </c>
      <c r="I70" s="208" t="s">
        <v>238</v>
      </c>
      <c r="J70" s="528">
        <f t="shared" si="3"/>
        <v>73.334999999999994</v>
      </c>
      <c r="K70" s="529">
        <f>J70</f>
        <v>73.334999999999994</v>
      </c>
      <c r="L70" s="243">
        <f>IFERROR(K70/H73,"")</f>
        <v>0.1047642857142857</v>
      </c>
      <c r="M70" s="535" t="e">
        <f>'Reviewer Eksternal (LK&amp;GB)1'!$K$139</f>
        <v>#REF!</v>
      </c>
      <c r="N70" s="536" t="str">
        <f>IFERROR(M70/H73,"")</f>
        <v/>
      </c>
    </row>
    <row r="71" spans="1:14" s="155" customFormat="1" x14ac:dyDescent="0.45">
      <c r="A71" s="231">
        <v>4</v>
      </c>
      <c r="B71" s="234" t="s">
        <v>226</v>
      </c>
      <c r="C71" s="156"/>
      <c r="D71" s="543"/>
      <c r="E71" s="510"/>
      <c r="F71" s="508"/>
      <c r="G71" s="218"/>
      <c r="H71" s="207">
        <f>10%*(700-D73-'LAMPIRAN II DONE'!$G$30)</f>
        <v>70</v>
      </c>
      <c r="I71" s="208" t="s">
        <v>227</v>
      </c>
      <c r="J71" s="528">
        <f t="shared" si="3"/>
        <v>7</v>
      </c>
      <c r="K71" s="529">
        <f>IF(J71="","",IF(J71&gt;(10/100*(H73)),(10/100*(H73)),J71))</f>
        <v>7</v>
      </c>
      <c r="L71" s="243">
        <f>IFERROR(K71/H73,"")</f>
        <v>0.01</v>
      </c>
      <c r="M71" s="535">
        <f>K71</f>
        <v>7</v>
      </c>
      <c r="N71" s="536">
        <f>IFERROR(M71/H73,"")</f>
        <v>0.01</v>
      </c>
    </row>
    <row r="72" spans="1:14" s="155" customFormat="1" x14ac:dyDescent="0.45">
      <c r="A72" s="231">
        <v>5</v>
      </c>
      <c r="B72" s="234" t="s">
        <v>228</v>
      </c>
      <c r="C72" s="156"/>
      <c r="D72" s="543"/>
      <c r="E72" s="510"/>
      <c r="F72" s="508"/>
      <c r="G72" s="218"/>
      <c r="H72" s="207">
        <f>10%*(700-D73-'LAMPIRAN II DONE'!$G$30)</f>
        <v>70</v>
      </c>
      <c r="I72" s="208" t="s">
        <v>227</v>
      </c>
      <c r="J72" s="528">
        <f t="shared" si="3"/>
        <v>20</v>
      </c>
      <c r="K72" s="527">
        <f>IF(J72="","",IF(J72&gt;(10/100*(H73)),(10/100*(H73)),J72))</f>
        <v>20</v>
      </c>
      <c r="L72" s="243">
        <f>IFERROR(K72/H73,"")</f>
        <v>2.8571428571428571E-2</v>
      </c>
      <c r="M72" s="535">
        <f>K72</f>
        <v>20</v>
      </c>
      <c r="N72" s="536">
        <f>IFERROR(M72/H73,"")</f>
        <v>2.8571428571428571E-2</v>
      </c>
    </row>
    <row r="73" spans="1:14" s="158" customFormat="1" x14ac:dyDescent="0.45">
      <c r="A73" s="193"/>
      <c r="B73" s="1131" t="s">
        <v>229</v>
      </c>
      <c r="C73" s="1132"/>
      <c r="D73" s="503">
        <f>SUM(D68:D72)</f>
        <v>0</v>
      </c>
      <c r="E73" s="157"/>
      <c r="F73" s="157">
        <f t="shared" ref="F73:G73" si="4">SUM(F68:F72)</f>
        <v>0</v>
      </c>
      <c r="G73" s="219">
        <f t="shared" si="4"/>
        <v>0</v>
      </c>
      <c r="H73" s="209">
        <f>SUM(H68:H72)</f>
        <v>700</v>
      </c>
      <c r="I73" s="210"/>
      <c r="J73" s="157">
        <f>SUM(J68:J72)</f>
        <v>164.33499999999998</v>
      </c>
      <c r="K73" s="526"/>
      <c r="L73" s="242"/>
      <c r="M73" s="537" t="e">
        <f>SUM(M68:M72)</f>
        <v>#REF!</v>
      </c>
      <c r="N73" s="538"/>
    </row>
    <row r="74" spans="1:14" s="155" customFormat="1" x14ac:dyDescent="0.45">
      <c r="A74" s="231"/>
      <c r="B74" s="234"/>
      <c r="C74" s="156"/>
      <c r="D74" s="504"/>
      <c r="E74" s="154"/>
      <c r="F74" s="154"/>
      <c r="G74" s="220"/>
      <c r="H74" s="207"/>
      <c r="I74" s="211"/>
      <c r="J74" s="1108" t="s">
        <v>851</v>
      </c>
      <c r="K74" s="1109"/>
      <c r="L74" s="1110"/>
      <c r="M74" s="1106" t="e">
        <f>M73+D73</f>
        <v>#REF!</v>
      </c>
      <c r="N74" s="1107"/>
    </row>
    <row r="75" spans="1:14" s="153" customFormat="1" x14ac:dyDescent="0.45">
      <c r="A75" s="230" t="s">
        <v>243</v>
      </c>
      <c r="B75" s="232" t="s">
        <v>855</v>
      </c>
      <c r="C75" s="237" t="str">
        <f>IF('LAMPIRAN I DONE'!F20="magister (S2)","S2",IF('LAMPIRAN I DONE'!F20="Doktor (S3)","S3",""))</f>
        <v>S2</v>
      </c>
      <c r="D75" s="505"/>
      <c r="E75" s="508"/>
      <c r="F75" s="152"/>
      <c r="G75" s="215"/>
      <c r="H75" s="205"/>
      <c r="I75" s="210"/>
      <c r="J75" s="152"/>
      <c r="K75" s="525"/>
      <c r="L75" s="242"/>
      <c r="M75" s="227"/>
      <c r="N75" s="215"/>
    </row>
    <row r="76" spans="1:14" s="155" customFormat="1" x14ac:dyDescent="0.45">
      <c r="A76" s="231">
        <v>1</v>
      </c>
      <c r="B76" s="233" t="s">
        <v>221</v>
      </c>
      <c r="C76" s="200"/>
      <c r="D76" s="1079"/>
      <c r="E76" s="1116"/>
      <c r="F76" s="517"/>
      <c r="G76" s="216"/>
      <c r="H76" s="1117">
        <f>(35%*(850-D81-'LAMPIRAN II DONE'!$G$30))</f>
        <v>297.5</v>
      </c>
      <c r="I76" s="1119" t="s">
        <v>233</v>
      </c>
      <c r="J76" s="528">
        <f>J68</f>
        <v>0</v>
      </c>
      <c r="K76" s="1123">
        <f>IFERROR(J76+J77,"")</f>
        <v>64</v>
      </c>
      <c r="L76" s="1114">
        <f>IFERROR(K76/H81,"")</f>
        <v>7.5294117647058817E-2</v>
      </c>
      <c r="M76" s="1121">
        <f>K76</f>
        <v>64</v>
      </c>
      <c r="N76" s="1112">
        <f>IFERROR(M76/H81,"")</f>
        <v>7.5294117647058817E-2</v>
      </c>
    </row>
    <row r="77" spans="1:14" s="155" customFormat="1" x14ac:dyDescent="0.45">
      <c r="A77" s="231">
        <v>2</v>
      </c>
      <c r="B77" s="233" t="s">
        <v>223</v>
      </c>
      <c r="C77" s="200"/>
      <c r="D77" s="1075"/>
      <c r="E77" s="1116"/>
      <c r="F77" s="518"/>
      <c r="G77" s="217"/>
      <c r="H77" s="1118"/>
      <c r="I77" s="1120"/>
      <c r="J77" s="528">
        <f t="shared" ref="J77:J80" si="5">J69</f>
        <v>64</v>
      </c>
      <c r="K77" s="1124"/>
      <c r="L77" s="1115"/>
      <c r="M77" s="1122"/>
      <c r="N77" s="1113"/>
    </row>
    <row r="78" spans="1:14" s="155" customFormat="1" x14ac:dyDescent="0.45">
      <c r="A78" s="231">
        <v>3</v>
      </c>
      <c r="B78" s="234" t="s">
        <v>224</v>
      </c>
      <c r="C78" s="156"/>
      <c r="D78" s="543"/>
      <c r="E78" s="541"/>
      <c r="F78" s="508"/>
      <c r="G78" s="218"/>
      <c r="H78" s="207">
        <f>45%*(850-D81-'LAMPIRAN II DONE'!$G$30)</f>
        <v>382.5</v>
      </c>
      <c r="I78" s="208" t="s">
        <v>232</v>
      </c>
      <c r="J78" s="528">
        <f t="shared" si="5"/>
        <v>73.334999999999994</v>
      </c>
      <c r="K78" s="529">
        <f>J78</f>
        <v>73.334999999999994</v>
      </c>
      <c r="L78" s="243">
        <f>IFERROR(K78/H81,"")</f>
        <v>8.6276470588235288E-2</v>
      </c>
      <c r="M78" s="535" t="e">
        <f>'Reviewer Eksternal (LK&amp;GB)1'!$K$139</f>
        <v>#REF!</v>
      </c>
      <c r="N78" s="536" t="str">
        <f>IFERROR(M78/H81,"")</f>
        <v/>
      </c>
    </row>
    <row r="79" spans="1:14" s="155" customFormat="1" x14ac:dyDescent="0.45">
      <c r="A79" s="231">
        <v>4</v>
      </c>
      <c r="B79" s="234" t="s">
        <v>226</v>
      </c>
      <c r="C79" s="156"/>
      <c r="D79" s="543"/>
      <c r="E79" s="510"/>
      <c r="F79" s="508"/>
      <c r="G79" s="218"/>
      <c r="H79" s="207">
        <f>10%*(850-D81-'LAMPIRAN II DONE'!$G$30)</f>
        <v>85</v>
      </c>
      <c r="I79" s="208" t="s">
        <v>227</v>
      </c>
      <c r="J79" s="528">
        <f t="shared" si="5"/>
        <v>7</v>
      </c>
      <c r="K79" s="529">
        <f>IF(J79="","",IF(J79&gt;(10/100*(H81)),(10/100*(H81)),J79))</f>
        <v>7</v>
      </c>
      <c r="L79" s="243">
        <f>IFERROR(K79/H81,"")</f>
        <v>8.2352941176470594E-3</v>
      </c>
      <c r="M79" s="535">
        <f>K79</f>
        <v>7</v>
      </c>
      <c r="N79" s="536">
        <f>IFERROR(M79/H81,"")</f>
        <v>8.2352941176470594E-3</v>
      </c>
    </row>
    <row r="80" spans="1:14" s="155" customFormat="1" x14ac:dyDescent="0.45">
      <c r="A80" s="231">
        <v>5</v>
      </c>
      <c r="B80" s="234" t="s">
        <v>228</v>
      </c>
      <c r="C80" s="156"/>
      <c r="D80" s="543"/>
      <c r="E80" s="510"/>
      <c r="F80" s="508"/>
      <c r="G80" s="218"/>
      <c r="H80" s="207">
        <f>10%*(850-D81-'LAMPIRAN II DONE'!$G$30)</f>
        <v>85</v>
      </c>
      <c r="I80" s="208" t="s">
        <v>227</v>
      </c>
      <c r="J80" s="528">
        <f t="shared" si="5"/>
        <v>20</v>
      </c>
      <c r="K80" s="527">
        <f>IF(J80="","",IF(J80&gt;(10/100*(H81)),(10/100*(H81)),J80))</f>
        <v>20</v>
      </c>
      <c r="L80" s="243">
        <f>IFERROR(K80/H81,"")</f>
        <v>2.3529411764705882E-2</v>
      </c>
      <c r="M80" s="535">
        <f>K80</f>
        <v>20</v>
      </c>
      <c r="N80" s="536">
        <f>IFERROR(M80/H81,"")</f>
        <v>2.3529411764705882E-2</v>
      </c>
    </row>
    <row r="81" spans="1:14" s="158" customFormat="1" x14ac:dyDescent="0.45">
      <c r="A81" s="193"/>
      <c r="B81" s="1131" t="s">
        <v>229</v>
      </c>
      <c r="C81" s="1132"/>
      <c r="D81" s="507">
        <f>SUM(D76:D80)</f>
        <v>0</v>
      </c>
      <c r="E81" s="509"/>
      <c r="F81" s="157">
        <f t="shared" ref="F81:G81" si="6">SUM(F76:F80)</f>
        <v>0</v>
      </c>
      <c r="G81" s="219">
        <f t="shared" si="6"/>
        <v>0</v>
      </c>
      <c r="H81" s="209">
        <f>SUM(H76:H80)</f>
        <v>850</v>
      </c>
      <c r="I81" s="210"/>
      <c r="J81" s="157">
        <f>SUM(J76:J80)</f>
        <v>164.33499999999998</v>
      </c>
      <c r="K81" s="526"/>
      <c r="L81" s="242"/>
      <c r="M81" s="537" t="e">
        <f>SUM(M76:M80)</f>
        <v>#REF!</v>
      </c>
      <c r="N81" s="538"/>
    </row>
    <row r="82" spans="1:14" s="155" customFormat="1" x14ac:dyDescent="0.45">
      <c r="A82" s="231"/>
      <c r="B82" s="234"/>
      <c r="C82" s="156"/>
      <c r="D82" s="504"/>
      <c r="E82" s="154"/>
      <c r="F82" s="154"/>
      <c r="G82" s="220"/>
      <c r="H82" s="207"/>
      <c r="I82" s="211"/>
      <c r="J82" s="1108" t="s">
        <v>851</v>
      </c>
      <c r="K82" s="1109"/>
      <c r="L82" s="1110"/>
      <c r="M82" s="1106" t="e">
        <f>M81+D81</f>
        <v>#REF!</v>
      </c>
      <c r="N82" s="1107"/>
    </row>
    <row r="83" spans="1:14" s="153" customFormat="1" x14ac:dyDescent="0.45">
      <c r="A83" s="229" t="s">
        <v>245</v>
      </c>
      <c r="B83" s="232" t="s">
        <v>856</v>
      </c>
      <c r="C83" s="237" t="str">
        <f>IF('LAMPIRAN I DONE'!F20="magister (S2)","S2",IF('LAMPIRAN I DONE'!F20="Doktor (S3)","S3",""))</f>
        <v>S2</v>
      </c>
      <c r="D83" s="505"/>
      <c r="E83" s="508"/>
      <c r="F83" s="152"/>
      <c r="G83" s="215"/>
      <c r="H83" s="205"/>
      <c r="I83" s="210"/>
      <c r="J83" s="152"/>
      <c r="K83" s="525"/>
      <c r="L83" s="242"/>
      <c r="M83" s="227"/>
      <c r="N83" s="215"/>
    </row>
    <row r="84" spans="1:14" s="155" customFormat="1" x14ac:dyDescent="0.45">
      <c r="A84" s="231">
        <v>1</v>
      </c>
      <c r="B84" s="233" t="s">
        <v>221</v>
      </c>
      <c r="C84" s="200"/>
      <c r="D84" s="1079"/>
      <c r="E84" s="1116"/>
      <c r="F84" s="517"/>
      <c r="G84" s="216"/>
      <c r="H84" s="1117">
        <f>35%*(1050-D89-'LAMPIRAN II DONE'!$G$30)</f>
        <v>367.5</v>
      </c>
      <c r="I84" s="1119" t="s">
        <v>233</v>
      </c>
      <c r="J84" s="528">
        <f>J76</f>
        <v>0</v>
      </c>
      <c r="K84" s="1123">
        <f>IFERROR(J84+J85,"")</f>
        <v>64</v>
      </c>
      <c r="L84" s="1114">
        <f>IFERROR(K84/H89,"")</f>
        <v>6.0952380952380952E-2</v>
      </c>
      <c r="M84" s="1121">
        <f>K84</f>
        <v>64</v>
      </c>
      <c r="N84" s="1112">
        <f>IFERROR(M84/H89,"")</f>
        <v>6.0952380952380952E-2</v>
      </c>
    </row>
    <row r="85" spans="1:14" s="155" customFormat="1" x14ac:dyDescent="0.45">
      <c r="A85" s="231">
        <v>2</v>
      </c>
      <c r="B85" s="233" t="s">
        <v>223</v>
      </c>
      <c r="C85" s="200"/>
      <c r="D85" s="1075"/>
      <c r="E85" s="1116"/>
      <c r="F85" s="518"/>
      <c r="G85" s="217"/>
      <c r="H85" s="1118"/>
      <c r="I85" s="1120"/>
      <c r="J85" s="528">
        <f t="shared" ref="J85:J88" si="7">J77</f>
        <v>64</v>
      </c>
      <c r="K85" s="1124"/>
      <c r="L85" s="1115"/>
      <c r="M85" s="1122"/>
      <c r="N85" s="1113"/>
    </row>
    <row r="86" spans="1:14" s="155" customFormat="1" x14ac:dyDescent="0.45">
      <c r="A86" s="231">
        <v>3</v>
      </c>
      <c r="B86" s="234" t="s">
        <v>224</v>
      </c>
      <c r="C86" s="156"/>
      <c r="D86" s="543"/>
      <c r="E86" s="541"/>
      <c r="F86" s="508"/>
      <c r="G86" s="218"/>
      <c r="H86" s="207">
        <f>45%*(1050-D89-'LAMPIRAN II DONE'!$G$30)</f>
        <v>472.5</v>
      </c>
      <c r="I86" s="208" t="s">
        <v>232</v>
      </c>
      <c r="J86" s="528">
        <f t="shared" si="7"/>
        <v>73.334999999999994</v>
      </c>
      <c r="K86" s="529">
        <f>J86</f>
        <v>73.334999999999994</v>
      </c>
      <c r="L86" s="243">
        <f>IFERROR(K86/H89,"")</f>
        <v>6.9842857142857137E-2</v>
      </c>
      <c r="M86" s="535" t="e">
        <f>'Reviewer Eksternal (LK&amp;GB)1'!$K$139</f>
        <v>#REF!</v>
      </c>
      <c r="N86" s="536" t="str">
        <f>IFERROR(M86/H89,"")</f>
        <v/>
      </c>
    </row>
    <row r="87" spans="1:14" s="155" customFormat="1" x14ac:dyDescent="0.45">
      <c r="A87" s="231">
        <v>4</v>
      </c>
      <c r="B87" s="234" t="s">
        <v>226</v>
      </c>
      <c r="C87" s="156"/>
      <c r="D87" s="543"/>
      <c r="E87" s="510"/>
      <c r="F87" s="508"/>
      <c r="G87" s="218"/>
      <c r="H87" s="207">
        <f>10%*(1050-D89-'LAMPIRAN II DONE'!$G$30)</f>
        <v>105</v>
      </c>
      <c r="I87" s="208" t="s">
        <v>227</v>
      </c>
      <c r="J87" s="528">
        <f t="shared" si="7"/>
        <v>7</v>
      </c>
      <c r="K87" s="529">
        <f>IF(J87="","",IF(J87&gt;(10/100*(H89)),(10/100*(H89)),J87))</f>
        <v>7</v>
      </c>
      <c r="L87" s="243">
        <f>IFERROR(K87/H89,"")</f>
        <v>6.6666666666666671E-3</v>
      </c>
      <c r="M87" s="535">
        <f>K87</f>
        <v>7</v>
      </c>
      <c r="N87" s="536">
        <f>IFERROR(M87/H89,"")</f>
        <v>6.6666666666666671E-3</v>
      </c>
    </row>
    <row r="88" spans="1:14" s="155" customFormat="1" x14ac:dyDescent="0.45">
      <c r="A88" s="231">
        <v>5</v>
      </c>
      <c r="B88" s="234" t="s">
        <v>228</v>
      </c>
      <c r="C88" s="156"/>
      <c r="D88" s="543"/>
      <c r="E88" s="510"/>
      <c r="F88" s="508"/>
      <c r="G88" s="218"/>
      <c r="H88" s="207">
        <f>10%*(1050-D89-'LAMPIRAN II DONE'!$G$30)</f>
        <v>105</v>
      </c>
      <c r="I88" s="208" t="s">
        <v>227</v>
      </c>
      <c r="J88" s="528">
        <f t="shared" si="7"/>
        <v>20</v>
      </c>
      <c r="K88" s="527">
        <f>IF(J88="","",IF(J88&gt;(10/100*(H89)),(10/100*(H89)),J88))</f>
        <v>20</v>
      </c>
      <c r="L88" s="243">
        <f>IFERROR(K88/H89,"")</f>
        <v>1.9047619047619049E-2</v>
      </c>
      <c r="M88" s="535">
        <f>K88</f>
        <v>20</v>
      </c>
      <c r="N88" s="536">
        <f>IFERROR(M88/H89,"")</f>
        <v>1.9047619047619049E-2</v>
      </c>
    </row>
    <row r="89" spans="1:14" s="158" customFormat="1" ht="14.65" thickBot="1" x14ac:dyDescent="0.5">
      <c r="A89" s="193"/>
      <c r="B89" s="1127" t="s">
        <v>229</v>
      </c>
      <c r="C89" s="1128"/>
      <c r="D89" s="212">
        <f>SUM(D84:D88)</f>
        <v>0</v>
      </c>
      <c r="E89" s="221"/>
      <c r="F89" s="222">
        <f t="shared" ref="F89:G89" si="8">SUM(F84:F88)</f>
        <v>0</v>
      </c>
      <c r="G89" s="223">
        <f t="shared" si="8"/>
        <v>0</v>
      </c>
      <c r="H89" s="212">
        <f>SUM(H84:H88)</f>
        <v>1050</v>
      </c>
      <c r="I89" s="213"/>
      <c r="J89" s="222">
        <f>SUM(J84:J88)</f>
        <v>164.33499999999998</v>
      </c>
      <c r="K89" s="222"/>
      <c r="L89" s="246"/>
      <c r="M89" s="537" t="e">
        <f>SUM(M84:M88)</f>
        <v>#REF!</v>
      </c>
      <c r="N89" s="538"/>
    </row>
    <row r="90" spans="1:14" s="158" customFormat="1" x14ac:dyDescent="0.45">
      <c r="A90" s="810"/>
      <c r="B90" s="810"/>
      <c r="C90" s="810"/>
      <c r="D90" s="811"/>
      <c r="E90" s="811"/>
      <c r="F90" s="811"/>
      <c r="G90" s="811"/>
      <c r="H90" s="811"/>
      <c r="I90" s="812"/>
      <c r="J90" s="1108" t="s">
        <v>851</v>
      </c>
      <c r="K90" s="1109"/>
      <c r="L90" s="1110"/>
      <c r="M90" s="1106" t="e">
        <f>M89+D89</f>
        <v>#REF!</v>
      </c>
      <c r="N90" s="1107"/>
    </row>
    <row r="92" spans="1:14" x14ac:dyDescent="0.45">
      <c r="B92" s="555" t="s">
        <v>615</v>
      </c>
    </row>
  </sheetData>
  <mergeCells count="113">
    <mergeCell ref="B13:C13"/>
    <mergeCell ref="M23:N23"/>
    <mergeCell ref="L68:L69"/>
    <mergeCell ref="L60:L61"/>
    <mergeCell ref="L52:L53"/>
    <mergeCell ref="L44:L45"/>
    <mergeCell ref="L36:L37"/>
    <mergeCell ref="L28:L29"/>
    <mergeCell ref="N28:N29"/>
    <mergeCell ref="N68:N69"/>
    <mergeCell ref="N52:N53"/>
    <mergeCell ref="N44:N45"/>
    <mergeCell ref="N36:N37"/>
    <mergeCell ref="N60:N61"/>
    <mergeCell ref="M36:M37"/>
    <mergeCell ref="M44:M45"/>
    <mergeCell ref="M52:M53"/>
    <mergeCell ref="M60:M61"/>
    <mergeCell ref="M68:M69"/>
    <mergeCell ref="D15:F15"/>
    <mergeCell ref="E52:E53"/>
    <mergeCell ref="E60:E61"/>
    <mergeCell ref="D17:M17"/>
    <mergeCell ref="D68:D69"/>
    <mergeCell ref="A3:M3"/>
    <mergeCell ref="A4:M4"/>
    <mergeCell ref="B7:M7"/>
    <mergeCell ref="B8:C8"/>
    <mergeCell ref="B25:C25"/>
    <mergeCell ref="B26:C26"/>
    <mergeCell ref="B33:C33"/>
    <mergeCell ref="B41:C41"/>
    <mergeCell ref="D36:D37"/>
    <mergeCell ref="D28:D29"/>
    <mergeCell ref="E28:E29"/>
    <mergeCell ref="E36:E37"/>
    <mergeCell ref="H28:H29"/>
    <mergeCell ref="I28:I29"/>
    <mergeCell ref="K28:K29"/>
    <mergeCell ref="I36:I37"/>
    <mergeCell ref="H36:H37"/>
    <mergeCell ref="K36:K37"/>
    <mergeCell ref="M28:M29"/>
    <mergeCell ref="B10:C10"/>
    <mergeCell ref="B9:C9"/>
    <mergeCell ref="D16:M16"/>
    <mergeCell ref="B11:C11"/>
    <mergeCell ref="B12:C12"/>
    <mergeCell ref="A22:A24"/>
    <mergeCell ref="B22:C24"/>
    <mergeCell ref="B16:C16"/>
    <mergeCell ref="A17:A18"/>
    <mergeCell ref="B17:B18"/>
    <mergeCell ref="B19:C19"/>
    <mergeCell ref="B15:C15"/>
    <mergeCell ref="B57:C57"/>
    <mergeCell ref="B21:N21"/>
    <mergeCell ref="D22:N22"/>
    <mergeCell ref="D23:G23"/>
    <mergeCell ref="H23:I23"/>
    <mergeCell ref="J23:L23"/>
    <mergeCell ref="J24:K24"/>
    <mergeCell ref="E44:E45"/>
    <mergeCell ref="B89:C89"/>
    <mergeCell ref="B14:C14"/>
    <mergeCell ref="K76:K77"/>
    <mergeCell ref="H84:H85"/>
    <mergeCell ref="I84:I85"/>
    <mergeCell ref="K84:K85"/>
    <mergeCell ref="B81:C81"/>
    <mergeCell ref="B65:C65"/>
    <mergeCell ref="B73:C73"/>
    <mergeCell ref="D76:D77"/>
    <mergeCell ref="H76:H77"/>
    <mergeCell ref="D52:D53"/>
    <mergeCell ref="D60:D61"/>
    <mergeCell ref="E68:E69"/>
    <mergeCell ref="B49:C49"/>
    <mergeCell ref="D44:D45"/>
    <mergeCell ref="J58:L58"/>
    <mergeCell ref="A2:M2"/>
    <mergeCell ref="N84:N85"/>
    <mergeCell ref="L76:L77"/>
    <mergeCell ref="N76:N77"/>
    <mergeCell ref="D84:D85"/>
    <mergeCell ref="E76:E77"/>
    <mergeCell ref="E84:E85"/>
    <mergeCell ref="H44:H45"/>
    <mergeCell ref="I44:I45"/>
    <mergeCell ref="H52:H53"/>
    <mergeCell ref="I52:I53"/>
    <mergeCell ref="H60:H61"/>
    <mergeCell ref="I60:I61"/>
    <mergeCell ref="H68:H69"/>
    <mergeCell ref="I68:I69"/>
    <mergeCell ref="L84:L85"/>
    <mergeCell ref="M76:M77"/>
    <mergeCell ref="M84:M85"/>
    <mergeCell ref="I76:I77"/>
    <mergeCell ref="K44:K45"/>
    <mergeCell ref="K52:K53"/>
    <mergeCell ref="K60:K61"/>
    <mergeCell ref="K68:K69"/>
    <mergeCell ref="G15:M15"/>
    <mergeCell ref="M58:N58"/>
    <mergeCell ref="J66:L66"/>
    <mergeCell ref="M66:N66"/>
    <mergeCell ref="J74:L74"/>
    <mergeCell ref="M74:N74"/>
    <mergeCell ref="J82:L82"/>
    <mergeCell ref="M82:N82"/>
    <mergeCell ref="J90:L90"/>
    <mergeCell ref="M90:N90"/>
  </mergeCells>
  <conditionalFormatting sqref="D86">
    <cfRule type="expression" dxfId="69" priority="36">
      <formula>D86=""</formula>
    </cfRule>
  </conditionalFormatting>
  <conditionalFormatting sqref="D87">
    <cfRule type="expression" dxfId="68" priority="35">
      <formula>D87=""</formula>
    </cfRule>
  </conditionalFormatting>
  <conditionalFormatting sqref="D88">
    <cfRule type="expression" dxfId="67" priority="34">
      <formula>D88=""</formula>
    </cfRule>
  </conditionalFormatting>
  <conditionalFormatting sqref="E86">
    <cfRule type="expression" dxfId="66" priority="33">
      <formula>E86=""</formula>
    </cfRule>
  </conditionalFormatting>
  <conditionalFormatting sqref="E78">
    <cfRule type="expression" dxfId="65" priority="32">
      <formula>E78=""</formula>
    </cfRule>
  </conditionalFormatting>
  <conditionalFormatting sqref="E70">
    <cfRule type="expression" dxfId="64" priority="31">
      <formula>E70=""</formula>
    </cfRule>
  </conditionalFormatting>
  <conditionalFormatting sqref="E62">
    <cfRule type="expression" dxfId="63" priority="30">
      <formula>E62=""</formula>
    </cfRule>
  </conditionalFormatting>
  <conditionalFormatting sqref="E54">
    <cfRule type="expression" dxfId="62" priority="29">
      <formula>E54=""</formula>
    </cfRule>
  </conditionalFormatting>
  <conditionalFormatting sqref="E46">
    <cfRule type="expression" dxfId="61" priority="28">
      <formula>E46=""</formula>
    </cfRule>
  </conditionalFormatting>
  <conditionalFormatting sqref="E38">
    <cfRule type="expression" dxfId="60" priority="27">
      <formula>E38=""</formula>
    </cfRule>
  </conditionalFormatting>
  <conditionalFormatting sqref="D84">
    <cfRule type="expression" dxfId="59" priority="26">
      <formula>D84=""</formula>
    </cfRule>
  </conditionalFormatting>
  <conditionalFormatting sqref="D36">
    <cfRule type="expression" dxfId="58" priority="1">
      <formula>D36=""</formula>
    </cfRule>
  </conditionalFormatting>
  <conditionalFormatting sqref="D78">
    <cfRule type="expression" dxfId="57" priority="24">
      <formula>D78=""</formula>
    </cfRule>
  </conditionalFormatting>
  <conditionalFormatting sqref="D79">
    <cfRule type="expression" dxfId="56" priority="23">
      <formula>D79=""</formula>
    </cfRule>
  </conditionalFormatting>
  <conditionalFormatting sqref="D80">
    <cfRule type="expression" dxfId="55" priority="22">
      <formula>D80=""</formula>
    </cfRule>
  </conditionalFormatting>
  <conditionalFormatting sqref="D76">
    <cfRule type="expression" dxfId="54" priority="21">
      <formula>D76=""</formula>
    </cfRule>
  </conditionalFormatting>
  <conditionalFormatting sqref="D70">
    <cfRule type="expression" dxfId="53" priority="20">
      <formula>D70=""</formula>
    </cfRule>
  </conditionalFormatting>
  <conditionalFormatting sqref="D71">
    <cfRule type="expression" dxfId="52" priority="19">
      <formula>D71=""</formula>
    </cfRule>
  </conditionalFormatting>
  <conditionalFormatting sqref="D72">
    <cfRule type="expression" dxfId="51" priority="18">
      <formula>D72=""</formula>
    </cfRule>
  </conditionalFormatting>
  <conditionalFormatting sqref="D68">
    <cfRule type="expression" dxfId="50" priority="17">
      <formula>D68=""</formula>
    </cfRule>
  </conditionalFormatting>
  <conditionalFormatting sqref="D62">
    <cfRule type="expression" dxfId="49" priority="16">
      <formula>D62=""</formula>
    </cfRule>
  </conditionalFormatting>
  <conditionalFormatting sqref="D63">
    <cfRule type="expression" dxfId="48" priority="15">
      <formula>D63=""</formula>
    </cfRule>
  </conditionalFormatting>
  <conditionalFormatting sqref="D64">
    <cfRule type="expression" dxfId="47" priority="14">
      <formula>D64=""</formula>
    </cfRule>
  </conditionalFormatting>
  <conditionalFormatting sqref="D60">
    <cfRule type="expression" dxfId="46" priority="13">
      <formula>D60=""</formula>
    </cfRule>
  </conditionalFormatting>
  <conditionalFormatting sqref="D54">
    <cfRule type="expression" dxfId="45" priority="12">
      <formula>D54=""</formula>
    </cfRule>
  </conditionalFormatting>
  <conditionalFormatting sqref="D55">
    <cfRule type="expression" dxfId="44" priority="11">
      <formula>D55=""</formula>
    </cfRule>
  </conditionalFormatting>
  <conditionalFormatting sqref="D56">
    <cfRule type="expression" dxfId="43" priority="10">
      <formula>D56=""</formula>
    </cfRule>
  </conditionalFormatting>
  <conditionalFormatting sqref="D52">
    <cfRule type="expression" dxfId="42" priority="9">
      <formula>D52=""</formula>
    </cfRule>
  </conditionalFormatting>
  <conditionalFormatting sqref="D46">
    <cfRule type="expression" dxfId="41" priority="8">
      <formula>D46=""</formula>
    </cfRule>
  </conditionalFormatting>
  <conditionalFormatting sqref="D47">
    <cfRule type="expression" dxfId="40" priority="7">
      <formula>D47=""</formula>
    </cfRule>
  </conditionalFormatting>
  <conditionalFormatting sqref="D48">
    <cfRule type="expression" dxfId="39" priority="6">
      <formula>D48=""</formula>
    </cfRule>
  </conditionalFormatting>
  <conditionalFormatting sqref="D44">
    <cfRule type="expression" dxfId="38" priority="5">
      <formula>D44=""</formula>
    </cfRule>
  </conditionalFormatting>
  <conditionalFormatting sqref="D38">
    <cfRule type="expression" dxfId="37" priority="4">
      <formula>D38=""</formula>
    </cfRule>
  </conditionalFormatting>
  <conditionalFormatting sqref="D39">
    <cfRule type="expression" dxfId="36" priority="3">
      <formula>D39=""</formula>
    </cfRule>
  </conditionalFormatting>
  <conditionalFormatting sqref="D40">
    <cfRule type="expression" dxfId="35" priority="2">
      <formula>D40=""</formula>
    </cfRule>
  </conditionalFormatting>
  <dataValidations count="2">
    <dataValidation type="list" allowBlank="1" showInputMessage="1" showErrorMessage="1" sqref="D35 D43" xr:uid="{00000000-0002-0000-0800-000000000000}">
      <formula1>"AA(100),AA(150)"</formula1>
    </dataValidation>
    <dataValidation type="list" allowBlank="1" showInputMessage="1" showErrorMessage="1" sqref="M27" xr:uid="{00000000-0002-0000-0800-000001000000}">
      <formula1>#REF!</formula1>
    </dataValidation>
  </dataValidations>
  <pageMargins left="0.7" right="0.7" top="0.75" bottom="0.75" header="0.3" footer="0.3"/>
  <pageSetup orientation="portrait" horizontalDpi="4294967293" verticalDpi="4294967293" r:id="rId1"/>
  <ignoredErrors>
    <ignoredError sqref="A25:C25"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vt:i4>
      </vt:variant>
    </vt:vector>
  </HeadingPairs>
  <TitlesOfParts>
    <vt:vector size="14" baseType="lpstr">
      <vt:lpstr>LAMPIRAN I DONE</vt:lpstr>
      <vt:lpstr>LAMPIRAN II DONE</vt:lpstr>
      <vt:lpstr>LAMPIRAN III DONE</vt:lpstr>
      <vt:lpstr>Reviewer Eksternal (LK&amp;GB)1</vt:lpstr>
      <vt:lpstr>LAMPIRAN IV DONE</vt:lpstr>
      <vt:lpstr>LAMPIRAN V DONE</vt:lpstr>
      <vt:lpstr>Rekap Similarity</vt:lpstr>
      <vt:lpstr>Link Publikasi LK-GB</vt:lpstr>
      <vt:lpstr>Rekapitulasi (S3)</vt:lpstr>
      <vt:lpstr>Rekapitulasi (S2)</vt:lpstr>
      <vt:lpstr>List</vt:lpstr>
      <vt:lpstr>DUPAK</vt:lpstr>
      <vt:lpstr>DUPAK!Print_Area</vt:lpstr>
      <vt:lpstr>'Reviewer Eksternal (LK&amp;GB)1'!Print_Titles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dc:creator>
  <cp:lastModifiedBy>Bandung</cp:lastModifiedBy>
  <cp:lastPrinted>2013-12-23T04:37:19Z</cp:lastPrinted>
  <dcterms:created xsi:type="dcterms:W3CDTF">2010-10-04T07:38:28Z</dcterms:created>
  <dcterms:modified xsi:type="dcterms:W3CDTF">2019-01-21T22:08:44Z</dcterms:modified>
</cp:coreProperties>
</file>